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E:\CLOUD-FTA\Drive3-2021\N1. THEO LVCM\LV_1. XDCQ&amp;CTTN\QUANLY THON, TO\Nam 2024\2. DTVB\"/>
    </mc:Choice>
  </mc:AlternateContent>
  <xr:revisionPtr revIDLastSave="0" documentId="13_ncr:1_{63B2D137-1B7C-452F-B750-B193CF03567B}" xr6:coauthVersionLast="46" xr6:coauthVersionMax="46" xr10:uidLastSave="{00000000-0000-0000-0000-000000000000}"/>
  <bookViews>
    <workbookView xWindow="-120" yWindow="-120" windowWidth="29040" windowHeight="15720" activeTab="1" xr2:uid="{00000000-000D-0000-FFFF-FFFF00000000}"/>
  </bookViews>
  <sheets>
    <sheet name="SN" sheetId="7" r:id="rId1"/>
    <sheet name="ĐT" sheetId="8" r:id="rId2"/>
    <sheet name="PL1(Full)" sheetId="1" r:id="rId3"/>
    <sheet name="SL" sheetId="2" state="veryHidden" r:id="rId4"/>
    <sheet name="PL2(SN)" sheetId="4" state="veryHidden" r:id="rId5"/>
    <sheet name="PL5(PL)" sheetId="6" r:id="rId6"/>
  </sheets>
  <definedNames>
    <definedName name="_xlnm._FilterDatabase" localSheetId="2" hidden="1">'PL1(Full)'!$A$6:$X$1299</definedName>
    <definedName name="_xlnm._FilterDatabase" localSheetId="4" hidden="1">'PL2(SN)'!$A$7:$Q$20</definedName>
    <definedName name="_xlnm._FilterDatabase" localSheetId="3" hidden="1">SL!$A$3:$F$112</definedName>
    <definedName name="_xlnm._FilterDatabase" localSheetId="0" hidden="1">SN!$A$7:$Q$26</definedName>
    <definedName name="_GoBack" localSheetId="1">ĐT!#REF!</definedName>
    <definedName name="pl_babe">'PL1(Full)'!$W$7:$W$185</definedName>
    <definedName name="pl_bachthong">'PL1(Full)'!$W$186:$W$324</definedName>
    <definedName name="pl_chodon">'PL1(Full)'!$W$325:$W$551</definedName>
    <definedName name="pl_chomoi">'PL1(Full)'!$W$552:$W$704</definedName>
    <definedName name="pl_nari">'PL1(Full)'!$W$705:$W$926</definedName>
    <definedName name="pl_nganson">'PL1(Full)'!$W$927:$W$1068</definedName>
    <definedName name="pl_pacnam">'PL1(Full)'!$W$1069:$W$1181</definedName>
    <definedName name="pl_tpbackan">'PL1(Full)'!$W$1182:$W$1298</definedName>
    <definedName name="_xlnm.Print_Area" localSheetId="1">ĐT!$A$1:$D$21</definedName>
    <definedName name="_xlnm.Print_Area" localSheetId="5">'PL5(PL)'!$A$1:$R$15</definedName>
    <definedName name="_xlnm.Print_Area" localSheetId="3">SL!$A$1:$H$113</definedName>
    <definedName name="_xlnm.Print_Area" localSheetId="0">SN!$A$1:$Q$28</definedName>
    <definedName name="_xlnm.Print_Titles" localSheetId="1">ĐT!$5:$5</definedName>
    <definedName name="_xlnm.Print_Titles" localSheetId="2">'PL1(Full)'!$4:$5</definedName>
    <definedName name="_xlnm.Print_Titles" localSheetId="3">SL!$3:$3</definedName>
    <definedName name="_xlnm.Print_Titles" localSheetId="0">SN!$5:$6</definedName>
    <definedName name="Soho_1292_thon_to">'PL1(Full)'!$I$7:$I$1298</definedName>
    <definedName name="tenthon_1292">'PL1(Full)'!$F$7:$F$1298</definedName>
  </definedNames>
  <calcPr calcId="191029"/>
</workbook>
</file>

<file path=xl/calcChain.xml><?xml version="1.0" encoding="utf-8"?>
<calcChain xmlns="http://schemas.openxmlformats.org/spreadsheetml/2006/main">
  <c r="E26" i="7" l="1"/>
  <c r="A26" i="7"/>
  <c r="M25" i="7"/>
  <c r="N25" i="7" s="1"/>
  <c r="L25" i="7"/>
  <c r="E25" i="7"/>
  <c r="A25" i="7"/>
  <c r="E23" i="7"/>
  <c r="A23" i="7"/>
  <c r="M22" i="7"/>
  <c r="N22" i="7" s="1"/>
  <c r="L22" i="7"/>
  <c r="E22" i="7"/>
  <c r="A22" i="7"/>
  <c r="E21" i="7"/>
  <c r="A21" i="7"/>
  <c r="E20" i="7"/>
  <c r="A20" i="7"/>
  <c r="M19" i="7"/>
  <c r="L19" i="7"/>
  <c r="N19" i="7" s="1"/>
  <c r="E19" i="7"/>
  <c r="A19" i="7"/>
  <c r="E16" i="7"/>
  <c r="A16" i="7"/>
  <c r="N15" i="7"/>
  <c r="M15" i="7"/>
  <c r="L15" i="7"/>
  <c r="E15" i="7"/>
  <c r="A15" i="7"/>
  <c r="E13" i="7"/>
  <c r="A13" i="7"/>
  <c r="M12" i="7"/>
  <c r="L12" i="7"/>
  <c r="N12" i="7" s="1"/>
  <c r="E12" i="7"/>
  <c r="A12" i="7"/>
  <c r="E11" i="7"/>
  <c r="A11" i="7"/>
  <c r="M10" i="7"/>
  <c r="N10" i="7" s="1"/>
  <c r="L10" i="7"/>
  <c r="E10" i="7"/>
  <c r="A10" i="7"/>
  <c r="A11" i="1"/>
  <c r="A10" i="1"/>
  <c r="A9" i="1"/>
  <c r="A8" i="1"/>
  <c r="A7" i="1"/>
  <c r="C15" i="6"/>
  <c r="K54" i="4"/>
  <c r="I54" i="4"/>
  <c r="C54" i="4"/>
  <c r="E47" i="4"/>
  <c r="M46" i="4"/>
  <c r="N46" i="4" s="1"/>
  <c r="L46" i="4"/>
  <c r="E46" i="4"/>
  <c r="E51" i="4" s="1"/>
  <c r="E45" i="4"/>
  <c r="M44" i="4"/>
  <c r="L44" i="4"/>
  <c r="N44" i="4" s="1"/>
  <c r="E44" i="4"/>
  <c r="E43" i="4"/>
  <c r="E42" i="4"/>
  <c r="M41" i="4"/>
  <c r="N41" i="4" s="1"/>
  <c r="L41" i="4"/>
  <c r="E41" i="4"/>
  <c r="E38" i="4"/>
  <c r="N37" i="4"/>
  <c r="M37" i="4"/>
  <c r="L37" i="4"/>
  <c r="E37" i="4"/>
  <c r="E36" i="4"/>
  <c r="N35" i="4"/>
  <c r="E35" i="4"/>
  <c r="E33" i="4"/>
  <c r="E32" i="4"/>
  <c r="N31" i="4"/>
  <c r="E31" i="4"/>
  <c r="E30" i="4"/>
  <c r="E29" i="4"/>
  <c r="N28" i="4"/>
  <c r="E28" i="4"/>
  <c r="E27" i="4"/>
  <c r="E26" i="4"/>
  <c r="N25" i="4"/>
  <c r="E25" i="4"/>
  <c r="E24" i="4"/>
  <c r="M23" i="4"/>
  <c r="N23" i="4" s="1"/>
  <c r="E23" i="4"/>
  <c r="E20" i="4"/>
  <c r="E19" i="4"/>
  <c r="N18" i="4"/>
  <c r="E18" i="4"/>
  <c r="E17" i="4"/>
  <c r="E16" i="4"/>
  <c r="N15" i="4"/>
  <c r="E15" i="4"/>
  <c r="E14" i="4"/>
  <c r="N13" i="4"/>
  <c r="E13" i="4"/>
  <c r="E12" i="4"/>
  <c r="N10" i="4"/>
  <c r="E10" i="4"/>
  <c r="H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S1301" i="1"/>
  <c r="Q1301" i="1"/>
  <c r="G1301" i="1"/>
  <c r="F1301" i="1"/>
  <c r="S1299" i="1"/>
  <c r="M1299" i="1"/>
  <c r="J1299" i="1"/>
  <c r="I1299" i="1"/>
  <c r="G1299" i="1"/>
  <c r="F1299" i="1"/>
  <c r="E1299" i="1"/>
  <c r="D1299" i="1"/>
  <c r="W1298" i="1"/>
  <c r="R1298" i="1"/>
  <c r="P1298" i="1"/>
  <c r="N1298" i="1"/>
  <c r="L1298" i="1"/>
  <c r="H1298" i="1"/>
  <c r="V1298" i="1" s="1"/>
  <c r="W1297" i="1"/>
  <c r="R1297" i="1"/>
  <c r="P1297" i="1"/>
  <c r="N1297" i="1"/>
  <c r="T1297" i="1" s="1"/>
  <c r="L1297" i="1"/>
  <c r="H1297" i="1"/>
  <c r="W1296" i="1"/>
  <c r="R1296" i="1"/>
  <c r="P1296" i="1"/>
  <c r="N1296" i="1"/>
  <c r="L1296" i="1"/>
  <c r="H1296" i="1"/>
  <c r="V1296" i="1" s="1"/>
  <c r="W1295" i="1"/>
  <c r="R1295" i="1"/>
  <c r="P1295" i="1"/>
  <c r="N1295" i="1"/>
  <c r="L1295" i="1"/>
  <c r="H1295" i="1"/>
  <c r="V1295" i="1" s="1"/>
  <c r="W1294" i="1"/>
  <c r="R1294" i="1"/>
  <c r="P1294" i="1"/>
  <c r="N1294" i="1"/>
  <c r="L1294" i="1"/>
  <c r="H1294" i="1"/>
  <c r="V1294" i="1" s="1"/>
  <c r="W1293" i="1"/>
  <c r="R1293" i="1"/>
  <c r="P1293" i="1"/>
  <c r="N1293" i="1"/>
  <c r="L1293" i="1"/>
  <c r="H1293" i="1"/>
  <c r="W1292" i="1"/>
  <c r="R1292" i="1"/>
  <c r="P1292" i="1"/>
  <c r="N1292" i="1"/>
  <c r="L1292" i="1"/>
  <c r="H1292" i="1"/>
  <c r="V1292" i="1" s="1"/>
  <c r="W1291" i="1"/>
  <c r="R1291" i="1"/>
  <c r="P1291" i="1"/>
  <c r="N1291" i="1"/>
  <c r="L1291" i="1"/>
  <c r="H1291" i="1"/>
  <c r="U1291" i="1" s="1"/>
  <c r="W1290" i="1"/>
  <c r="R1290" i="1"/>
  <c r="P1290" i="1"/>
  <c r="N1290" i="1"/>
  <c r="L1290" i="1"/>
  <c r="H1290" i="1"/>
  <c r="V1290" i="1" s="1"/>
  <c r="W1289" i="1"/>
  <c r="R1289" i="1"/>
  <c r="P1289" i="1"/>
  <c r="N1289" i="1"/>
  <c r="L1289" i="1"/>
  <c r="H1289" i="1"/>
  <c r="V1289" i="1" s="1"/>
  <c r="W1288" i="1"/>
  <c r="R1288" i="1"/>
  <c r="P1288" i="1"/>
  <c r="N1288" i="1"/>
  <c r="L1288" i="1"/>
  <c r="H1288" i="1"/>
  <c r="V1288" i="1" s="1"/>
  <c r="W1287" i="1"/>
  <c r="R1287" i="1"/>
  <c r="P1287" i="1"/>
  <c r="N1287" i="1"/>
  <c r="L1287" i="1"/>
  <c r="H1287" i="1"/>
  <c r="U1287" i="1" s="1"/>
  <c r="W1286" i="1"/>
  <c r="R1286" i="1"/>
  <c r="P1286" i="1"/>
  <c r="N1286" i="1"/>
  <c r="L1286" i="1"/>
  <c r="H1286" i="1"/>
  <c r="V1286" i="1" s="1"/>
  <c r="W1285" i="1"/>
  <c r="R1285" i="1"/>
  <c r="P1285" i="1"/>
  <c r="N1285" i="1"/>
  <c r="L1285" i="1"/>
  <c r="H1285" i="1"/>
  <c r="U1285" i="1" s="1"/>
  <c r="C1285" i="1"/>
  <c r="C1286" i="1" s="1"/>
  <c r="C1287" i="1" s="1"/>
  <c r="C1288" i="1" s="1"/>
  <c r="C1289" i="1" s="1"/>
  <c r="C1290" i="1" s="1"/>
  <c r="C1291" i="1" s="1"/>
  <c r="C1292" i="1" s="1"/>
  <c r="C1293" i="1" s="1"/>
  <c r="C1294" i="1" s="1"/>
  <c r="C1295" i="1" s="1"/>
  <c r="C1296" i="1" s="1"/>
  <c r="C1297" i="1" s="1"/>
  <c r="C1298" i="1" s="1"/>
  <c r="W1284" i="1"/>
  <c r="R1284" i="1"/>
  <c r="P1284" i="1"/>
  <c r="N1284" i="1"/>
  <c r="L1284" i="1"/>
  <c r="H1284" i="1"/>
  <c r="V1284" i="1" s="1"/>
  <c r="W1283" i="1"/>
  <c r="R1283" i="1"/>
  <c r="P1283" i="1"/>
  <c r="N1283" i="1"/>
  <c r="L1283" i="1"/>
  <c r="H1283" i="1"/>
  <c r="U1283" i="1" s="1"/>
  <c r="W1282" i="1"/>
  <c r="R1282" i="1"/>
  <c r="P1282" i="1"/>
  <c r="N1282" i="1"/>
  <c r="L1282" i="1"/>
  <c r="H1282" i="1"/>
  <c r="W1281" i="1"/>
  <c r="R1281" i="1"/>
  <c r="P1281" i="1"/>
  <c r="N1281" i="1"/>
  <c r="L1281" i="1"/>
  <c r="H1281" i="1"/>
  <c r="U1281" i="1" s="1"/>
  <c r="W1280" i="1"/>
  <c r="R1280" i="1"/>
  <c r="P1280" i="1"/>
  <c r="N1280" i="1"/>
  <c r="T1280" i="1" s="1"/>
  <c r="L1280" i="1"/>
  <c r="H1280" i="1"/>
  <c r="V1280" i="1" s="1"/>
  <c r="W1279" i="1"/>
  <c r="R1279" i="1"/>
  <c r="P1279" i="1"/>
  <c r="N1279" i="1"/>
  <c r="L1279" i="1"/>
  <c r="H1279" i="1"/>
  <c r="U1279" i="1" s="1"/>
  <c r="W1278" i="1"/>
  <c r="R1278" i="1"/>
  <c r="P1278" i="1"/>
  <c r="N1278" i="1"/>
  <c r="L1278" i="1"/>
  <c r="H1278" i="1"/>
  <c r="V1278" i="1" s="1"/>
  <c r="W1277" i="1"/>
  <c r="R1277" i="1"/>
  <c r="P1277" i="1"/>
  <c r="N1277" i="1"/>
  <c r="L1277" i="1"/>
  <c r="H1277" i="1"/>
  <c r="V1277" i="1" s="1"/>
  <c r="W1276" i="1"/>
  <c r="R1276" i="1"/>
  <c r="P1276" i="1"/>
  <c r="N1276" i="1"/>
  <c r="L1276" i="1"/>
  <c r="H1276" i="1"/>
  <c r="V1276" i="1" s="1"/>
  <c r="C1276" i="1"/>
  <c r="C1277" i="1" s="1"/>
  <c r="C1278" i="1" s="1"/>
  <c r="C1279" i="1" s="1"/>
  <c r="C1280" i="1" s="1"/>
  <c r="C1281" i="1" s="1"/>
  <c r="C1282" i="1" s="1"/>
  <c r="C1283" i="1" s="1"/>
  <c r="W1275" i="1"/>
  <c r="R1275" i="1"/>
  <c r="P1275" i="1"/>
  <c r="N1275" i="1"/>
  <c r="L1275" i="1"/>
  <c r="H1275" i="1"/>
  <c r="W1274" i="1"/>
  <c r="R1274" i="1"/>
  <c r="P1274" i="1"/>
  <c r="N1274" i="1"/>
  <c r="L1274" i="1"/>
  <c r="H1274" i="1"/>
  <c r="U1274" i="1" s="1"/>
  <c r="W1273" i="1"/>
  <c r="R1273" i="1"/>
  <c r="P1273" i="1"/>
  <c r="N1273" i="1"/>
  <c r="L1273" i="1"/>
  <c r="H1273" i="1"/>
  <c r="U1273" i="1" s="1"/>
  <c r="W1272" i="1"/>
  <c r="R1272" i="1"/>
  <c r="P1272" i="1"/>
  <c r="N1272" i="1"/>
  <c r="L1272" i="1"/>
  <c r="H1272" i="1"/>
  <c r="V1272" i="1" s="1"/>
  <c r="W1271" i="1"/>
  <c r="R1271" i="1"/>
  <c r="P1271" i="1"/>
  <c r="N1271" i="1"/>
  <c r="L1271" i="1"/>
  <c r="H1271" i="1"/>
  <c r="U1271" i="1" s="1"/>
  <c r="W1270" i="1"/>
  <c r="R1270" i="1"/>
  <c r="P1270" i="1"/>
  <c r="N1270" i="1"/>
  <c r="L1270" i="1"/>
  <c r="H1270" i="1"/>
  <c r="V1270" i="1" s="1"/>
  <c r="W1269" i="1"/>
  <c r="R1269" i="1"/>
  <c r="P1269" i="1"/>
  <c r="N1269" i="1"/>
  <c r="L1269" i="1"/>
  <c r="H1269" i="1"/>
  <c r="U1269" i="1" s="1"/>
  <c r="C1269" i="1"/>
  <c r="C1270" i="1" s="1"/>
  <c r="C1271" i="1" s="1"/>
  <c r="C1272" i="1" s="1"/>
  <c r="C1273" i="1" s="1"/>
  <c r="C1274" i="1" s="1"/>
  <c r="W1268" i="1"/>
  <c r="R1268" i="1"/>
  <c r="P1268" i="1"/>
  <c r="N1268" i="1"/>
  <c r="L1268" i="1"/>
  <c r="H1268" i="1"/>
  <c r="W1267" i="1"/>
  <c r="R1267" i="1"/>
  <c r="P1267" i="1"/>
  <c r="N1267" i="1"/>
  <c r="L1267" i="1"/>
  <c r="H1267" i="1"/>
  <c r="U1267" i="1" s="1"/>
  <c r="W1266" i="1"/>
  <c r="R1266" i="1"/>
  <c r="P1266" i="1"/>
  <c r="N1266" i="1"/>
  <c r="L1266" i="1"/>
  <c r="H1266" i="1"/>
  <c r="V1266" i="1" s="1"/>
  <c r="W1265" i="1"/>
  <c r="R1265" i="1"/>
  <c r="P1265" i="1"/>
  <c r="N1265" i="1"/>
  <c r="L1265" i="1"/>
  <c r="H1265" i="1"/>
  <c r="V1265" i="1" s="1"/>
  <c r="W1264" i="1"/>
  <c r="R1264" i="1"/>
  <c r="P1264" i="1"/>
  <c r="N1264" i="1"/>
  <c r="L1264" i="1"/>
  <c r="H1264" i="1"/>
  <c r="U1264" i="1" s="1"/>
  <c r="W1263" i="1"/>
  <c r="R1263" i="1"/>
  <c r="P1263" i="1"/>
  <c r="N1263" i="1"/>
  <c r="L1263" i="1"/>
  <c r="H1263" i="1"/>
  <c r="U1263" i="1" s="1"/>
  <c r="W1262" i="1"/>
  <c r="R1262" i="1"/>
  <c r="P1262" i="1"/>
  <c r="N1262" i="1"/>
  <c r="L1262" i="1"/>
  <c r="H1262" i="1"/>
  <c r="V1262" i="1" s="1"/>
  <c r="W1261" i="1"/>
  <c r="R1261" i="1"/>
  <c r="P1261" i="1"/>
  <c r="N1261" i="1"/>
  <c r="L1261" i="1"/>
  <c r="H1261" i="1"/>
  <c r="U1261" i="1" s="1"/>
  <c r="W1260" i="1"/>
  <c r="R1260" i="1"/>
  <c r="P1260" i="1"/>
  <c r="N1260" i="1"/>
  <c r="L1260" i="1"/>
  <c r="H1260" i="1"/>
  <c r="V1260" i="1" s="1"/>
  <c r="W1259" i="1"/>
  <c r="R1259" i="1"/>
  <c r="P1259" i="1"/>
  <c r="N1259" i="1"/>
  <c r="L1259" i="1"/>
  <c r="H1259" i="1"/>
  <c r="U1259" i="1" s="1"/>
  <c r="W1258" i="1"/>
  <c r="R1258" i="1"/>
  <c r="P1258" i="1"/>
  <c r="N1258" i="1"/>
  <c r="L1258" i="1"/>
  <c r="H1258" i="1"/>
  <c r="W1257" i="1"/>
  <c r="R1257" i="1"/>
  <c r="P1257" i="1"/>
  <c r="N1257" i="1"/>
  <c r="L1257" i="1"/>
  <c r="H1257" i="1"/>
  <c r="U1257" i="1" s="1"/>
  <c r="W1256" i="1"/>
  <c r="R1256" i="1"/>
  <c r="P1256" i="1"/>
  <c r="N1256" i="1"/>
  <c r="L1256" i="1"/>
  <c r="H1256" i="1"/>
  <c r="V1256" i="1" s="1"/>
  <c r="W1255" i="1"/>
  <c r="R1255" i="1"/>
  <c r="P1255" i="1"/>
  <c r="N1255" i="1"/>
  <c r="L1255" i="1"/>
  <c r="H1255" i="1"/>
  <c r="U1255" i="1" s="1"/>
  <c r="W1254" i="1"/>
  <c r="R1254" i="1"/>
  <c r="P1254" i="1"/>
  <c r="N1254" i="1"/>
  <c r="L1254" i="1"/>
  <c r="H1254" i="1"/>
  <c r="U1254" i="1" s="1"/>
  <c r="W1253" i="1"/>
  <c r="R1253" i="1"/>
  <c r="P1253" i="1"/>
  <c r="N1253" i="1"/>
  <c r="L1253" i="1"/>
  <c r="H1253" i="1"/>
  <c r="U1253" i="1" s="1"/>
  <c r="W1252" i="1"/>
  <c r="R1252" i="1"/>
  <c r="P1252" i="1"/>
  <c r="N1252" i="1"/>
  <c r="L1252" i="1"/>
  <c r="H1252" i="1"/>
  <c r="V1252" i="1" s="1"/>
  <c r="W1251" i="1"/>
  <c r="R1251" i="1"/>
  <c r="P1251" i="1"/>
  <c r="N1251" i="1"/>
  <c r="L1251" i="1"/>
  <c r="H1251" i="1"/>
  <c r="U1251" i="1" s="1"/>
  <c r="W1250" i="1"/>
  <c r="R1250" i="1"/>
  <c r="P1250" i="1"/>
  <c r="N1250" i="1"/>
  <c r="L1250" i="1"/>
  <c r="H1250" i="1"/>
  <c r="V1250" i="1" s="1"/>
  <c r="W1249" i="1"/>
  <c r="V1249" i="1"/>
  <c r="R1249" i="1"/>
  <c r="P1249" i="1"/>
  <c r="N1249" i="1"/>
  <c r="L1249" i="1"/>
  <c r="H1249" i="1"/>
  <c r="U1249" i="1" s="1"/>
  <c r="W1248" i="1"/>
  <c r="R1248" i="1"/>
  <c r="P1248" i="1"/>
  <c r="N1248" i="1"/>
  <c r="L1248" i="1"/>
  <c r="H1248" i="1"/>
  <c r="C1248" i="1"/>
  <c r="C1249" i="1" s="1"/>
  <c r="C1250" i="1" s="1"/>
  <c r="C1251" i="1" s="1"/>
  <c r="C1252" i="1" s="1"/>
  <c r="C1253" i="1" s="1"/>
  <c r="C1254" i="1" s="1"/>
  <c r="C1255" i="1" s="1"/>
  <c r="C1256" i="1" s="1"/>
  <c r="C1257" i="1" s="1"/>
  <c r="C1258" i="1" s="1"/>
  <c r="C1259" i="1" s="1"/>
  <c r="C1260" i="1" s="1"/>
  <c r="C1261" i="1" s="1"/>
  <c r="C1262" i="1" s="1"/>
  <c r="C1263" i="1" s="1"/>
  <c r="C1264" i="1" s="1"/>
  <c r="C1265" i="1" s="1"/>
  <c r="C1266" i="1" s="1"/>
  <c r="C1267" i="1" s="1"/>
  <c r="W1247" i="1"/>
  <c r="R1247" i="1"/>
  <c r="P1247" i="1"/>
  <c r="N1247" i="1"/>
  <c r="L1247" i="1"/>
  <c r="H1247" i="1"/>
  <c r="U1247" i="1" s="1"/>
  <c r="W1246" i="1"/>
  <c r="R1246" i="1"/>
  <c r="P1246" i="1"/>
  <c r="N1246" i="1"/>
  <c r="L1246" i="1"/>
  <c r="H1246" i="1"/>
  <c r="V1246" i="1" s="1"/>
  <c r="W1245" i="1"/>
  <c r="R1245" i="1"/>
  <c r="P1245" i="1"/>
  <c r="N1245" i="1"/>
  <c r="L1245" i="1"/>
  <c r="H1245" i="1"/>
  <c r="V1245" i="1" s="1"/>
  <c r="W1244" i="1"/>
  <c r="R1244" i="1"/>
  <c r="P1244" i="1"/>
  <c r="N1244" i="1"/>
  <c r="L1244" i="1"/>
  <c r="H1244" i="1"/>
  <c r="W1243" i="1"/>
  <c r="R1243" i="1"/>
  <c r="P1243" i="1"/>
  <c r="N1243" i="1"/>
  <c r="L1243" i="1"/>
  <c r="H1243" i="1"/>
  <c r="V1243" i="1" s="1"/>
  <c r="W1242" i="1"/>
  <c r="R1242" i="1"/>
  <c r="P1242" i="1"/>
  <c r="N1242" i="1"/>
  <c r="L1242" i="1"/>
  <c r="H1242" i="1"/>
  <c r="V1242" i="1" s="1"/>
  <c r="W1241" i="1"/>
  <c r="R1241" i="1"/>
  <c r="P1241" i="1"/>
  <c r="N1241" i="1"/>
  <c r="L1241" i="1"/>
  <c r="H1241" i="1"/>
  <c r="U1241" i="1" s="1"/>
  <c r="W1240" i="1"/>
  <c r="R1240" i="1"/>
  <c r="P1240" i="1"/>
  <c r="N1240" i="1"/>
  <c r="L1240" i="1"/>
  <c r="H1240" i="1"/>
  <c r="U1240" i="1" s="1"/>
  <c r="W1239" i="1"/>
  <c r="R1239" i="1"/>
  <c r="P1239" i="1"/>
  <c r="N1239" i="1"/>
  <c r="L1239" i="1"/>
  <c r="H1239" i="1"/>
  <c r="W1238" i="1"/>
  <c r="R1238" i="1"/>
  <c r="P1238" i="1"/>
  <c r="N1238" i="1"/>
  <c r="L1238" i="1"/>
  <c r="H1238" i="1"/>
  <c r="U1238" i="1" s="1"/>
  <c r="W1237" i="1"/>
  <c r="R1237" i="1"/>
  <c r="P1237" i="1"/>
  <c r="N1237" i="1"/>
  <c r="L1237" i="1"/>
  <c r="H1237" i="1"/>
  <c r="U1237" i="1" s="1"/>
  <c r="W1236" i="1"/>
  <c r="R1236" i="1"/>
  <c r="P1236" i="1"/>
  <c r="N1236" i="1"/>
  <c r="L1236" i="1"/>
  <c r="H1236" i="1"/>
  <c r="C1236" i="1"/>
  <c r="C1237" i="1" s="1"/>
  <c r="C1238" i="1" s="1"/>
  <c r="C1239" i="1" s="1"/>
  <c r="C1240" i="1" s="1"/>
  <c r="C1241" i="1" s="1"/>
  <c r="C1242" i="1" s="1"/>
  <c r="C1243" i="1" s="1"/>
  <c r="C1244" i="1" s="1"/>
  <c r="C1245" i="1" s="1"/>
  <c r="C1246" i="1" s="1"/>
  <c r="W1235" i="1"/>
  <c r="R1235" i="1"/>
  <c r="P1235" i="1"/>
  <c r="N1235" i="1"/>
  <c r="L1235" i="1"/>
  <c r="H1235" i="1"/>
  <c r="W1234" i="1"/>
  <c r="R1234" i="1"/>
  <c r="P1234" i="1"/>
  <c r="N1234" i="1"/>
  <c r="L1234" i="1"/>
  <c r="H1234" i="1"/>
  <c r="V1234" i="1" s="1"/>
  <c r="W1233" i="1"/>
  <c r="R1233" i="1"/>
  <c r="P1233" i="1"/>
  <c r="N1233" i="1"/>
  <c r="L1233" i="1"/>
  <c r="H1233" i="1"/>
  <c r="V1233" i="1" s="1"/>
  <c r="W1232" i="1"/>
  <c r="R1232" i="1"/>
  <c r="P1232" i="1"/>
  <c r="N1232" i="1"/>
  <c r="L1232" i="1"/>
  <c r="H1232" i="1"/>
  <c r="W1231" i="1"/>
  <c r="R1231" i="1"/>
  <c r="P1231" i="1"/>
  <c r="N1231" i="1"/>
  <c r="L1231" i="1"/>
  <c r="H1231" i="1"/>
  <c r="W1230" i="1"/>
  <c r="R1230" i="1"/>
  <c r="P1230" i="1"/>
  <c r="N1230" i="1"/>
  <c r="L1230" i="1"/>
  <c r="H1230" i="1"/>
  <c r="U1230" i="1" s="1"/>
  <c r="W1229" i="1"/>
  <c r="R1229" i="1"/>
  <c r="P1229" i="1"/>
  <c r="N1229" i="1"/>
  <c r="L1229" i="1"/>
  <c r="H1229" i="1"/>
  <c r="U1229" i="1" s="1"/>
  <c r="W1228" i="1"/>
  <c r="R1228" i="1"/>
  <c r="P1228" i="1"/>
  <c r="N1228" i="1"/>
  <c r="L1228" i="1"/>
  <c r="H1228" i="1"/>
  <c r="V1228" i="1" s="1"/>
  <c r="W1227" i="1"/>
  <c r="R1227" i="1"/>
  <c r="P1227" i="1"/>
  <c r="N1227" i="1"/>
  <c r="L1227" i="1"/>
  <c r="H1227" i="1"/>
  <c r="V1227" i="1" s="1"/>
  <c r="W1226" i="1"/>
  <c r="R1226" i="1"/>
  <c r="P1226" i="1"/>
  <c r="N1226" i="1"/>
  <c r="L1226" i="1"/>
  <c r="H1226" i="1"/>
  <c r="U1226" i="1" s="1"/>
  <c r="W1225" i="1"/>
  <c r="R1225" i="1"/>
  <c r="P1225" i="1"/>
  <c r="N1225" i="1"/>
  <c r="L1225" i="1"/>
  <c r="H1225" i="1"/>
  <c r="V1225" i="1" s="1"/>
  <c r="W1224" i="1"/>
  <c r="R1224" i="1"/>
  <c r="P1224" i="1"/>
  <c r="N1224" i="1"/>
  <c r="L1224" i="1"/>
  <c r="H1224" i="1"/>
  <c r="W1223" i="1"/>
  <c r="R1223" i="1"/>
  <c r="P1223" i="1"/>
  <c r="N1223" i="1"/>
  <c r="L1223" i="1"/>
  <c r="H1223" i="1"/>
  <c r="V1223" i="1" s="1"/>
  <c r="W1222" i="1"/>
  <c r="R1222" i="1"/>
  <c r="P1222" i="1"/>
  <c r="N1222" i="1"/>
  <c r="L1222" i="1"/>
  <c r="H1222" i="1"/>
  <c r="V1222" i="1" s="1"/>
  <c r="W1221" i="1"/>
  <c r="R1221" i="1"/>
  <c r="P1221" i="1"/>
  <c r="N1221" i="1"/>
  <c r="L1221" i="1"/>
  <c r="H1221" i="1"/>
  <c r="W1220" i="1"/>
  <c r="R1220" i="1"/>
  <c r="P1220" i="1"/>
  <c r="N1220" i="1"/>
  <c r="L1220" i="1"/>
  <c r="H1220" i="1"/>
  <c r="V1220" i="1" s="1"/>
  <c r="W1219" i="1"/>
  <c r="R1219" i="1"/>
  <c r="P1219" i="1"/>
  <c r="N1219" i="1"/>
  <c r="L1219" i="1"/>
  <c r="H1219" i="1"/>
  <c r="V1219" i="1" s="1"/>
  <c r="C1219" i="1"/>
  <c r="C1220" i="1" s="1"/>
  <c r="C1221" i="1" s="1"/>
  <c r="C1222" i="1" s="1"/>
  <c r="C1223" i="1" s="1"/>
  <c r="C1224" i="1" s="1"/>
  <c r="C1225" i="1" s="1"/>
  <c r="C1226" i="1" s="1"/>
  <c r="C1227" i="1" s="1"/>
  <c r="C1228" i="1" s="1"/>
  <c r="C1229" i="1" s="1"/>
  <c r="C1230" i="1" s="1"/>
  <c r="C1231" i="1" s="1"/>
  <c r="C1232" i="1" s="1"/>
  <c r="C1233" i="1" s="1"/>
  <c r="C1234" i="1" s="1"/>
  <c r="W1218" i="1"/>
  <c r="R1218" i="1"/>
  <c r="P1218" i="1"/>
  <c r="N1218" i="1"/>
  <c r="L1218" i="1"/>
  <c r="H1218" i="1"/>
  <c r="W1217" i="1"/>
  <c r="R1217" i="1"/>
  <c r="P1217" i="1"/>
  <c r="N1217" i="1"/>
  <c r="L1217" i="1"/>
  <c r="H1217" i="1"/>
  <c r="W1216" i="1"/>
  <c r="R1216" i="1"/>
  <c r="P1216" i="1"/>
  <c r="N1216" i="1"/>
  <c r="T1216" i="1" s="1"/>
  <c r="L1216" i="1"/>
  <c r="H1216" i="1"/>
  <c r="U1216" i="1" s="1"/>
  <c r="W1215" i="1"/>
  <c r="R1215" i="1"/>
  <c r="P1215" i="1"/>
  <c r="N1215" i="1"/>
  <c r="L1215" i="1"/>
  <c r="H1215" i="1"/>
  <c r="V1215" i="1" s="1"/>
  <c r="W1214" i="1"/>
  <c r="R1214" i="1"/>
  <c r="P1214" i="1"/>
  <c r="N1214" i="1"/>
  <c r="L1214" i="1"/>
  <c r="H1214" i="1"/>
  <c r="V1214" i="1" s="1"/>
  <c r="W1213" i="1"/>
  <c r="R1213" i="1"/>
  <c r="P1213" i="1"/>
  <c r="N1213" i="1"/>
  <c r="L1213" i="1"/>
  <c r="H1213" i="1"/>
  <c r="V1213" i="1" s="1"/>
  <c r="W1212" i="1"/>
  <c r="R1212" i="1"/>
  <c r="P1212" i="1"/>
  <c r="N1212" i="1"/>
  <c r="L1212" i="1"/>
  <c r="H1212" i="1"/>
  <c r="V1212" i="1" s="1"/>
  <c r="W1211" i="1"/>
  <c r="R1211" i="1"/>
  <c r="P1211" i="1"/>
  <c r="N1211" i="1"/>
  <c r="L1211" i="1"/>
  <c r="H1211" i="1"/>
  <c r="U1211" i="1" s="1"/>
  <c r="W1210" i="1"/>
  <c r="R1210" i="1"/>
  <c r="P1210" i="1"/>
  <c r="N1210" i="1"/>
  <c r="L1210" i="1"/>
  <c r="H1210" i="1"/>
  <c r="W1209" i="1"/>
  <c r="R1209" i="1"/>
  <c r="P1209" i="1"/>
  <c r="N1209" i="1"/>
  <c r="L1209" i="1"/>
  <c r="H1209" i="1"/>
  <c r="W1208" i="1"/>
  <c r="R1208" i="1"/>
  <c r="P1208" i="1"/>
  <c r="N1208" i="1"/>
  <c r="T1208" i="1" s="1"/>
  <c r="L1208" i="1"/>
  <c r="H1208" i="1"/>
  <c r="V1208" i="1" s="1"/>
  <c r="W1207" i="1"/>
  <c r="R1207" i="1"/>
  <c r="P1207" i="1"/>
  <c r="N1207" i="1"/>
  <c r="L1207" i="1"/>
  <c r="H1207" i="1"/>
  <c r="U1207" i="1" s="1"/>
  <c r="W1206" i="1"/>
  <c r="R1206" i="1"/>
  <c r="P1206" i="1"/>
  <c r="N1206" i="1"/>
  <c r="L1206" i="1"/>
  <c r="H1206" i="1"/>
  <c r="V1206" i="1" s="1"/>
  <c r="W1205" i="1"/>
  <c r="R1205" i="1"/>
  <c r="P1205" i="1"/>
  <c r="N1205" i="1"/>
  <c r="L1205" i="1"/>
  <c r="H1205" i="1"/>
  <c r="V1205" i="1" s="1"/>
  <c r="W1204" i="1"/>
  <c r="R1204" i="1"/>
  <c r="P1204" i="1"/>
  <c r="N1204" i="1"/>
  <c r="L1204" i="1"/>
  <c r="H1204" i="1"/>
  <c r="V1204" i="1" s="1"/>
  <c r="W1203" i="1"/>
  <c r="R1203" i="1"/>
  <c r="P1203" i="1"/>
  <c r="N1203" i="1"/>
  <c r="L1203" i="1"/>
  <c r="H1203" i="1"/>
  <c r="V1203" i="1" s="1"/>
  <c r="W1202" i="1"/>
  <c r="R1202" i="1"/>
  <c r="P1202" i="1"/>
  <c r="N1202" i="1"/>
  <c r="L1202" i="1"/>
  <c r="H1202" i="1"/>
  <c r="U1202" i="1" s="1"/>
  <c r="W1201" i="1"/>
  <c r="R1201" i="1"/>
  <c r="P1201" i="1"/>
  <c r="N1201" i="1"/>
  <c r="L1201" i="1"/>
  <c r="H1201" i="1"/>
  <c r="U1201" i="1" s="1"/>
  <c r="C1201" i="1"/>
  <c r="C1202" i="1" s="1"/>
  <c r="C1203" i="1" s="1"/>
  <c r="C1204" i="1" s="1"/>
  <c r="C1205" i="1" s="1"/>
  <c r="C1206" i="1" s="1"/>
  <c r="C1207" i="1" s="1"/>
  <c r="C1208" i="1" s="1"/>
  <c r="C1209" i="1" s="1"/>
  <c r="C1210" i="1" s="1"/>
  <c r="C1211" i="1" s="1"/>
  <c r="C1212" i="1" s="1"/>
  <c r="C1213" i="1" s="1"/>
  <c r="C1214" i="1" s="1"/>
  <c r="C1215" i="1" s="1"/>
  <c r="C1216" i="1" s="1"/>
  <c r="C1217" i="1" s="1"/>
  <c r="W1200" i="1"/>
  <c r="R1200" i="1"/>
  <c r="P1200" i="1"/>
  <c r="N1200" i="1"/>
  <c r="L1200" i="1"/>
  <c r="H1200" i="1"/>
  <c r="U1200" i="1" s="1"/>
  <c r="W1199" i="1"/>
  <c r="R1199" i="1"/>
  <c r="P1199" i="1"/>
  <c r="N1199" i="1"/>
  <c r="L1199" i="1"/>
  <c r="H1199" i="1"/>
  <c r="W1198" i="1"/>
  <c r="R1198" i="1"/>
  <c r="P1198" i="1"/>
  <c r="N1198" i="1"/>
  <c r="L1198" i="1"/>
  <c r="H1198" i="1"/>
  <c r="V1198" i="1" s="1"/>
  <c r="W1197" i="1"/>
  <c r="R1197" i="1"/>
  <c r="P1197" i="1"/>
  <c r="N1197" i="1"/>
  <c r="L1197" i="1"/>
  <c r="H1197" i="1"/>
  <c r="W1196" i="1"/>
  <c r="R1196" i="1"/>
  <c r="P1196" i="1"/>
  <c r="T1196" i="1" s="1"/>
  <c r="N1196" i="1"/>
  <c r="L1196" i="1"/>
  <c r="H1196" i="1"/>
  <c r="V1196" i="1" s="1"/>
  <c r="W1195" i="1"/>
  <c r="R1195" i="1"/>
  <c r="P1195" i="1"/>
  <c r="N1195" i="1"/>
  <c r="L1195" i="1"/>
  <c r="H1195" i="1"/>
  <c r="U1195" i="1" s="1"/>
  <c r="W1194" i="1"/>
  <c r="R1194" i="1"/>
  <c r="P1194" i="1"/>
  <c r="N1194" i="1"/>
  <c r="L1194" i="1"/>
  <c r="H1194" i="1"/>
  <c r="V1194" i="1" s="1"/>
  <c r="W1193" i="1"/>
  <c r="R1193" i="1"/>
  <c r="P1193" i="1"/>
  <c r="N1193" i="1"/>
  <c r="L1193" i="1"/>
  <c r="H1193" i="1"/>
  <c r="U1193" i="1" s="1"/>
  <c r="W1192" i="1"/>
  <c r="R1192" i="1"/>
  <c r="P1192" i="1"/>
  <c r="N1192" i="1"/>
  <c r="L1192" i="1"/>
  <c r="H1192" i="1"/>
  <c r="V1192" i="1" s="1"/>
  <c r="W1191" i="1"/>
  <c r="R1191" i="1"/>
  <c r="P1191" i="1"/>
  <c r="N1191" i="1"/>
  <c r="L1191" i="1"/>
  <c r="H1191" i="1"/>
  <c r="V1191" i="1" s="1"/>
  <c r="W1190" i="1"/>
  <c r="R1190" i="1"/>
  <c r="P1190" i="1"/>
  <c r="N1190" i="1"/>
  <c r="L1190" i="1"/>
  <c r="H1190" i="1"/>
  <c r="V1190" i="1" s="1"/>
  <c r="W1189" i="1"/>
  <c r="R1189" i="1"/>
  <c r="P1189" i="1"/>
  <c r="N1189" i="1"/>
  <c r="L1189" i="1"/>
  <c r="H1189" i="1"/>
  <c r="V1189" i="1" s="1"/>
  <c r="W1188" i="1"/>
  <c r="R1188" i="1"/>
  <c r="P1188" i="1"/>
  <c r="N1188" i="1"/>
  <c r="L1188" i="1"/>
  <c r="H1188" i="1"/>
  <c r="U1188" i="1" s="1"/>
  <c r="W1187" i="1"/>
  <c r="R1187" i="1"/>
  <c r="P1187" i="1"/>
  <c r="N1187" i="1"/>
  <c r="L1187" i="1"/>
  <c r="H1187" i="1"/>
  <c r="U1187" i="1" s="1"/>
  <c r="W1186" i="1"/>
  <c r="R1186" i="1"/>
  <c r="P1186" i="1"/>
  <c r="N1186" i="1"/>
  <c r="L1186" i="1"/>
  <c r="H1186" i="1"/>
  <c r="U1186" i="1" s="1"/>
  <c r="W1185" i="1"/>
  <c r="R1185" i="1"/>
  <c r="P1185" i="1"/>
  <c r="N1185" i="1"/>
  <c r="L1185" i="1"/>
  <c r="H1185" i="1"/>
  <c r="W1184" i="1"/>
  <c r="R1184" i="1"/>
  <c r="P1184" i="1"/>
  <c r="N1184" i="1"/>
  <c r="L1184" i="1"/>
  <c r="H1184" i="1"/>
  <c r="W1183" i="1"/>
  <c r="R1183" i="1"/>
  <c r="P1183" i="1"/>
  <c r="N1183" i="1"/>
  <c r="L1183" i="1"/>
  <c r="H1183" i="1"/>
  <c r="U1183" i="1" s="1"/>
  <c r="C1183" i="1"/>
  <c r="C1184" i="1" s="1"/>
  <c r="C1185" i="1" s="1"/>
  <c r="C1186" i="1" s="1"/>
  <c r="C1187" i="1" s="1"/>
  <c r="C1188" i="1" s="1"/>
  <c r="C1189" i="1" s="1"/>
  <c r="C1190" i="1" s="1"/>
  <c r="C1191" i="1" s="1"/>
  <c r="C1192" i="1" s="1"/>
  <c r="C1193" i="1" s="1"/>
  <c r="C1194" i="1" s="1"/>
  <c r="C1195" i="1" s="1"/>
  <c r="C1196" i="1" s="1"/>
  <c r="C1197" i="1" s="1"/>
  <c r="C1198" i="1" s="1"/>
  <c r="C1199" i="1" s="1"/>
  <c r="B1183" i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W1182" i="1"/>
  <c r="R1182" i="1"/>
  <c r="P1182" i="1"/>
  <c r="N1182" i="1"/>
  <c r="L1182" i="1"/>
  <c r="H1182" i="1"/>
  <c r="V1182" i="1" s="1"/>
  <c r="W1181" i="1"/>
  <c r="R1181" i="1"/>
  <c r="P1181" i="1"/>
  <c r="N1181" i="1"/>
  <c r="T1181" i="1" s="1"/>
  <c r="L1181" i="1"/>
  <c r="H1181" i="1"/>
  <c r="V1181" i="1" s="1"/>
  <c r="W1180" i="1"/>
  <c r="R1180" i="1"/>
  <c r="P1180" i="1"/>
  <c r="N1180" i="1"/>
  <c r="T1180" i="1" s="1"/>
  <c r="L1180" i="1"/>
  <c r="H1180" i="1"/>
  <c r="W1179" i="1"/>
  <c r="R1179" i="1"/>
  <c r="P1179" i="1"/>
  <c r="N1179" i="1"/>
  <c r="T1179" i="1" s="1"/>
  <c r="L1179" i="1"/>
  <c r="H1179" i="1"/>
  <c r="U1179" i="1" s="1"/>
  <c r="W1178" i="1"/>
  <c r="R1178" i="1"/>
  <c r="P1178" i="1"/>
  <c r="N1178" i="1"/>
  <c r="T1178" i="1" s="1"/>
  <c r="L1178" i="1"/>
  <c r="H1178" i="1"/>
  <c r="V1178" i="1" s="1"/>
  <c r="W1177" i="1"/>
  <c r="R1177" i="1"/>
  <c r="P1177" i="1"/>
  <c r="N1177" i="1"/>
  <c r="T1177" i="1" s="1"/>
  <c r="L1177" i="1"/>
  <c r="H1177" i="1"/>
  <c r="U1177" i="1" s="1"/>
  <c r="W1176" i="1"/>
  <c r="R1176" i="1"/>
  <c r="P1176" i="1"/>
  <c r="N1176" i="1"/>
  <c r="T1176" i="1" s="1"/>
  <c r="L1176" i="1"/>
  <c r="H1176" i="1"/>
  <c r="W1175" i="1"/>
  <c r="R1175" i="1"/>
  <c r="P1175" i="1"/>
  <c r="N1175" i="1"/>
  <c r="T1175" i="1" s="1"/>
  <c r="L1175" i="1"/>
  <c r="H1175" i="1"/>
  <c r="U1175" i="1" s="1"/>
  <c r="W1174" i="1"/>
  <c r="R1174" i="1"/>
  <c r="P1174" i="1"/>
  <c r="N1174" i="1"/>
  <c r="T1174" i="1" s="1"/>
  <c r="L1174" i="1"/>
  <c r="H1174" i="1"/>
  <c r="U1174" i="1" s="1"/>
  <c r="C1174" i="1"/>
  <c r="C1175" i="1" s="1"/>
  <c r="C1176" i="1" s="1"/>
  <c r="C1177" i="1" s="1"/>
  <c r="C1178" i="1" s="1"/>
  <c r="C1179" i="1" s="1"/>
  <c r="C1180" i="1" s="1"/>
  <c r="C1181" i="1" s="1"/>
  <c r="W1173" i="1"/>
  <c r="T1173" i="1"/>
  <c r="R1173" i="1"/>
  <c r="P1173" i="1"/>
  <c r="N1173" i="1"/>
  <c r="L1173" i="1"/>
  <c r="H1173" i="1"/>
  <c r="V1173" i="1" s="1"/>
  <c r="W1172" i="1"/>
  <c r="R1172" i="1"/>
  <c r="P1172" i="1"/>
  <c r="N1172" i="1"/>
  <c r="T1172" i="1" s="1"/>
  <c r="L1172" i="1"/>
  <c r="H1172" i="1"/>
  <c r="V1172" i="1" s="1"/>
  <c r="W1171" i="1"/>
  <c r="R1171" i="1"/>
  <c r="P1171" i="1"/>
  <c r="N1171" i="1"/>
  <c r="T1171" i="1" s="1"/>
  <c r="L1171" i="1"/>
  <c r="H1171" i="1"/>
  <c r="V1171" i="1" s="1"/>
  <c r="W1170" i="1"/>
  <c r="R1170" i="1"/>
  <c r="P1170" i="1"/>
  <c r="N1170" i="1"/>
  <c r="T1170" i="1" s="1"/>
  <c r="L1170" i="1"/>
  <c r="H1170" i="1"/>
  <c r="V1170" i="1" s="1"/>
  <c r="W1169" i="1"/>
  <c r="R1169" i="1"/>
  <c r="P1169" i="1"/>
  <c r="N1169" i="1"/>
  <c r="L1169" i="1"/>
  <c r="H1169" i="1"/>
  <c r="V1169" i="1" s="1"/>
  <c r="W1168" i="1"/>
  <c r="R1168" i="1"/>
  <c r="P1168" i="1"/>
  <c r="N1168" i="1"/>
  <c r="T1168" i="1" s="1"/>
  <c r="L1168" i="1"/>
  <c r="H1168" i="1"/>
  <c r="U1168" i="1" s="1"/>
  <c r="W1167" i="1"/>
  <c r="R1167" i="1"/>
  <c r="P1167" i="1"/>
  <c r="N1167" i="1"/>
  <c r="T1167" i="1" s="1"/>
  <c r="L1167" i="1"/>
  <c r="H1167" i="1"/>
  <c r="V1167" i="1" s="1"/>
  <c r="W1166" i="1"/>
  <c r="R1166" i="1"/>
  <c r="P1166" i="1"/>
  <c r="N1166" i="1"/>
  <c r="T1166" i="1" s="1"/>
  <c r="L1166" i="1"/>
  <c r="H1166" i="1"/>
  <c r="U1166" i="1" s="1"/>
  <c r="C1166" i="1"/>
  <c r="C1167" i="1" s="1"/>
  <c r="C1168" i="1" s="1"/>
  <c r="C1169" i="1" s="1"/>
  <c r="C1170" i="1" s="1"/>
  <c r="C1171" i="1" s="1"/>
  <c r="C1172" i="1" s="1"/>
  <c r="W1165" i="1"/>
  <c r="R1165" i="1"/>
  <c r="P1165" i="1"/>
  <c r="N1165" i="1"/>
  <c r="T1165" i="1" s="1"/>
  <c r="L1165" i="1"/>
  <c r="H1165" i="1"/>
  <c r="V1165" i="1" s="1"/>
  <c r="W1164" i="1"/>
  <c r="R1164" i="1"/>
  <c r="P1164" i="1"/>
  <c r="N1164" i="1"/>
  <c r="T1164" i="1" s="1"/>
  <c r="L1164" i="1"/>
  <c r="H1164" i="1"/>
  <c r="V1164" i="1" s="1"/>
  <c r="W1163" i="1"/>
  <c r="R1163" i="1"/>
  <c r="P1163" i="1"/>
  <c r="N1163" i="1"/>
  <c r="T1163" i="1" s="1"/>
  <c r="L1163" i="1"/>
  <c r="H1163" i="1"/>
  <c r="V1163" i="1" s="1"/>
  <c r="W1162" i="1"/>
  <c r="R1162" i="1"/>
  <c r="P1162" i="1"/>
  <c r="N1162" i="1"/>
  <c r="T1162" i="1" s="1"/>
  <c r="L1162" i="1"/>
  <c r="H1162" i="1"/>
  <c r="W1161" i="1"/>
  <c r="R1161" i="1"/>
  <c r="P1161" i="1"/>
  <c r="N1161" i="1"/>
  <c r="T1161" i="1" s="1"/>
  <c r="L1161" i="1"/>
  <c r="H1161" i="1"/>
  <c r="V1161" i="1" s="1"/>
  <c r="W1160" i="1"/>
  <c r="R1160" i="1"/>
  <c r="P1160" i="1"/>
  <c r="N1160" i="1"/>
  <c r="T1160" i="1" s="1"/>
  <c r="L1160" i="1"/>
  <c r="H1160" i="1"/>
  <c r="V1160" i="1" s="1"/>
  <c r="W1159" i="1"/>
  <c r="R1159" i="1"/>
  <c r="P1159" i="1"/>
  <c r="N1159" i="1"/>
  <c r="T1159" i="1" s="1"/>
  <c r="L1159" i="1"/>
  <c r="H1159" i="1"/>
  <c r="V1159" i="1" s="1"/>
  <c r="W1158" i="1"/>
  <c r="R1158" i="1"/>
  <c r="P1158" i="1"/>
  <c r="N1158" i="1"/>
  <c r="T1158" i="1" s="1"/>
  <c r="L1158" i="1"/>
  <c r="H1158" i="1"/>
  <c r="V1158" i="1" s="1"/>
  <c r="W1157" i="1"/>
  <c r="R1157" i="1"/>
  <c r="P1157" i="1"/>
  <c r="N1157" i="1"/>
  <c r="T1157" i="1" s="1"/>
  <c r="L1157" i="1"/>
  <c r="H1157" i="1"/>
  <c r="W1156" i="1"/>
  <c r="R1156" i="1"/>
  <c r="P1156" i="1"/>
  <c r="N1156" i="1"/>
  <c r="T1156" i="1" s="1"/>
  <c r="L1156" i="1"/>
  <c r="H1156" i="1"/>
  <c r="V1156" i="1" s="1"/>
  <c r="W1155" i="1"/>
  <c r="R1155" i="1"/>
  <c r="P1155" i="1"/>
  <c r="N1155" i="1"/>
  <c r="T1155" i="1" s="1"/>
  <c r="L1155" i="1"/>
  <c r="H1155" i="1"/>
  <c r="W1154" i="1"/>
  <c r="R1154" i="1"/>
  <c r="P1154" i="1"/>
  <c r="N1154" i="1"/>
  <c r="T1154" i="1" s="1"/>
  <c r="L1154" i="1"/>
  <c r="H1154" i="1"/>
  <c r="V1154" i="1" s="1"/>
  <c r="W1153" i="1"/>
  <c r="R1153" i="1"/>
  <c r="P1153" i="1"/>
  <c r="N1153" i="1"/>
  <c r="T1153" i="1" s="1"/>
  <c r="L1153" i="1"/>
  <c r="H1153" i="1"/>
  <c r="W1152" i="1"/>
  <c r="R1152" i="1"/>
  <c r="P1152" i="1"/>
  <c r="N1152" i="1"/>
  <c r="T1152" i="1" s="1"/>
  <c r="L1152" i="1"/>
  <c r="H1152" i="1"/>
  <c r="W1151" i="1"/>
  <c r="R1151" i="1"/>
  <c r="P1151" i="1"/>
  <c r="N1151" i="1"/>
  <c r="T1151" i="1" s="1"/>
  <c r="L1151" i="1"/>
  <c r="H1151" i="1"/>
  <c r="V1151" i="1" s="1"/>
  <c r="C1151" i="1"/>
  <c r="C1152" i="1" s="1"/>
  <c r="C1153" i="1" s="1"/>
  <c r="C1154" i="1" s="1"/>
  <c r="C1155" i="1" s="1"/>
  <c r="C1156" i="1" s="1"/>
  <c r="C1157" i="1" s="1"/>
  <c r="C1158" i="1" s="1"/>
  <c r="C1159" i="1" s="1"/>
  <c r="C1160" i="1" s="1"/>
  <c r="C1161" i="1" s="1"/>
  <c r="C1162" i="1" s="1"/>
  <c r="C1163" i="1" s="1"/>
  <c r="C1164" i="1" s="1"/>
  <c r="W1150" i="1"/>
  <c r="R1150" i="1"/>
  <c r="P1150" i="1"/>
  <c r="N1150" i="1"/>
  <c r="T1150" i="1" s="1"/>
  <c r="L1150" i="1"/>
  <c r="H1150" i="1"/>
  <c r="V1150" i="1" s="1"/>
  <c r="W1149" i="1"/>
  <c r="R1149" i="1"/>
  <c r="P1149" i="1"/>
  <c r="N1149" i="1"/>
  <c r="T1149" i="1" s="1"/>
  <c r="L1149" i="1"/>
  <c r="H1149" i="1"/>
  <c r="V1149" i="1" s="1"/>
  <c r="W1148" i="1"/>
  <c r="R1148" i="1"/>
  <c r="P1148" i="1"/>
  <c r="N1148" i="1"/>
  <c r="T1148" i="1" s="1"/>
  <c r="L1148" i="1"/>
  <c r="H1148" i="1"/>
  <c r="V1148" i="1" s="1"/>
  <c r="W1147" i="1"/>
  <c r="R1147" i="1"/>
  <c r="P1147" i="1"/>
  <c r="N1147" i="1"/>
  <c r="L1147" i="1"/>
  <c r="H1147" i="1"/>
  <c r="V1147" i="1" s="1"/>
  <c r="W1146" i="1"/>
  <c r="R1146" i="1"/>
  <c r="P1146" i="1"/>
  <c r="N1146" i="1"/>
  <c r="L1146" i="1"/>
  <c r="H1146" i="1"/>
  <c r="W1145" i="1"/>
  <c r="R1145" i="1"/>
  <c r="P1145" i="1"/>
  <c r="N1145" i="1"/>
  <c r="T1145" i="1" s="1"/>
  <c r="L1145" i="1"/>
  <c r="H1145" i="1"/>
  <c r="U1145" i="1" s="1"/>
  <c r="W1144" i="1"/>
  <c r="R1144" i="1"/>
  <c r="P1144" i="1"/>
  <c r="N1144" i="1"/>
  <c r="T1144" i="1" s="1"/>
  <c r="L1144" i="1"/>
  <c r="H1144" i="1"/>
  <c r="W1143" i="1"/>
  <c r="R1143" i="1"/>
  <c r="P1143" i="1"/>
  <c r="N1143" i="1"/>
  <c r="T1143" i="1" s="1"/>
  <c r="L1143" i="1"/>
  <c r="H1143" i="1"/>
  <c r="V1143" i="1" s="1"/>
  <c r="C1143" i="1"/>
  <c r="C1144" i="1" s="1"/>
  <c r="C1145" i="1" s="1"/>
  <c r="C1146" i="1" s="1"/>
  <c r="C1147" i="1" s="1"/>
  <c r="C1148" i="1" s="1"/>
  <c r="C1149" i="1" s="1"/>
  <c r="W1142" i="1"/>
  <c r="R1142" i="1"/>
  <c r="P1142" i="1"/>
  <c r="N1142" i="1"/>
  <c r="T1142" i="1" s="1"/>
  <c r="L1142" i="1"/>
  <c r="H1142" i="1"/>
  <c r="U1142" i="1" s="1"/>
  <c r="W1141" i="1"/>
  <c r="R1141" i="1"/>
  <c r="P1141" i="1"/>
  <c r="N1141" i="1"/>
  <c r="L1141" i="1"/>
  <c r="H1141" i="1"/>
  <c r="W1140" i="1"/>
  <c r="R1140" i="1"/>
  <c r="P1140" i="1"/>
  <c r="N1140" i="1"/>
  <c r="T1140" i="1" s="1"/>
  <c r="L1140" i="1"/>
  <c r="H1140" i="1"/>
  <c r="V1140" i="1" s="1"/>
  <c r="W1139" i="1"/>
  <c r="R1139" i="1"/>
  <c r="P1139" i="1"/>
  <c r="N1139" i="1"/>
  <c r="T1139" i="1" s="1"/>
  <c r="L1139" i="1"/>
  <c r="H1139" i="1"/>
  <c r="V1139" i="1" s="1"/>
  <c r="W1138" i="1"/>
  <c r="R1138" i="1"/>
  <c r="P1138" i="1"/>
  <c r="N1138" i="1"/>
  <c r="T1138" i="1" s="1"/>
  <c r="L1138" i="1"/>
  <c r="H1138" i="1"/>
  <c r="V1138" i="1" s="1"/>
  <c r="W1137" i="1"/>
  <c r="R1137" i="1"/>
  <c r="P1137" i="1"/>
  <c r="N1137" i="1"/>
  <c r="T1137" i="1" s="1"/>
  <c r="L1137" i="1"/>
  <c r="H1137" i="1"/>
  <c r="V1137" i="1" s="1"/>
  <c r="W1136" i="1"/>
  <c r="R1136" i="1"/>
  <c r="P1136" i="1"/>
  <c r="N1136" i="1"/>
  <c r="T1136" i="1" s="1"/>
  <c r="L1136" i="1"/>
  <c r="H1136" i="1"/>
  <c r="W1135" i="1"/>
  <c r="R1135" i="1"/>
  <c r="P1135" i="1"/>
  <c r="N1135" i="1"/>
  <c r="T1135" i="1" s="1"/>
  <c r="L1135" i="1"/>
  <c r="H1135" i="1"/>
  <c r="U1135" i="1" s="1"/>
  <c r="W1134" i="1"/>
  <c r="R1134" i="1"/>
  <c r="P1134" i="1"/>
  <c r="N1134" i="1"/>
  <c r="T1134" i="1" s="1"/>
  <c r="L1134" i="1"/>
  <c r="H1134" i="1"/>
  <c r="V1134" i="1" s="1"/>
  <c r="C1134" i="1"/>
  <c r="C1135" i="1" s="1"/>
  <c r="C1136" i="1" s="1"/>
  <c r="C1137" i="1" s="1"/>
  <c r="C1138" i="1" s="1"/>
  <c r="C1139" i="1" s="1"/>
  <c r="C1140" i="1" s="1"/>
  <c r="C1141" i="1" s="1"/>
  <c r="W1133" i="1"/>
  <c r="R1133" i="1"/>
  <c r="P1133" i="1"/>
  <c r="N1133" i="1"/>
  <c r="T1133" i="1" s="1"/>
  <c r="L1133" i="1"/>
  <c r="H1133" i="1"/>
  <c r="V1133" i="1" s="1"/>
  <c r="W1132" i="1"/>
  <c r="R1132" i="1"/>
  <c r="P1132" i="1"/>
  <c r="N1132" i="1"/>
  <c r="T1132" i="1" s="1"/>
  <c r="L1132" i="1"/>
  <c r="H1132" i="1"/>
  <c r="W1131" i="1"/>
  <c r="R1131" i="1"/>
  <c r="P1131" i="1"/>
  <c r="N1131" i="1"/>
  <c r="T1131" i="1" s="1"/>
  <c r="L1131" i="1"/>
  <c r="H1131" i="1"/>
  <c r="V1131" i="1" s="1"/>
  <c r="W1130" i="1"/>
  <c r="R1130" i="1"/>
  <c r="P1130" i="1"/>
  <c r="N1130" i="1"/>
  <c r="T1130" i="1" s="1"/>
  <c r="L1130" i="1"/>
  <c r="H1130" i="1"/>
  <c r="V1130" i="1" s="1"/>
  <c r="W1129" i="1"/>
  <c r="R1129" i="1"/>
  <c r="P1129" i="1"/>
  <c r="N1129" i="1"/>
  <c r="T1129" i="1" s="1"/>
  <c r="L1129" i="1"/>
  <c r="H1129" i="1"/>
  <c r="V1129" i="1" s="1"/>
  <c r="W1128" i="1"/>
  <c r="R1128" i="1"/>
  <c r="P1128" i="1"/>
  <c r="N1128" i="1"/>
  <c r="T1128" i="1" s="1"/>
  <c r="L1128" i="1"/>
  <c r="H1128" i="1"/>
  <c r="U1128" i="1" s="1"/>
  <c r="W1127" i="1"/>
  <c r="R1127" i="1"/>
  <c r="P1127" i="1"/>
  <c r="N1127" i="1"/>
  <c r="T1127" i="1" s="1"/>
  <c r="L1127" i="1"/>
  <c r="H1127" i="1"/>
  <c r="U1127" i="1" s="1"/>
  <c r="W1126" i="1"/>
  <c r="R1126" i="1"/>
  <c r="P1126" i="1"/>
  <c r="N1126" i="1"/>
  <c r="T1126" i="1" s="1"/>
  <c r="L1126" i="1"/>
  <c r="H1126" i="1"/>
  <c r="W1125" i="1"/>
  <c r="R1125" i="1"/>
  <c r="P1125" i="1"/>
  <c r="N1125" i="1"/>
  <c r="T1125" i="1" s="1"/>
  <c r="L1125" i="1"/>
  <c r="H1125" i="1"/>
  <c r="V1125" i="1" s="1"/>
  <c r="W1124" i="1"/>
  <c r="R1124" i="1"/>
  <c r="P1124" i="1"/>
  <c r="N1124" i="1"/>
  <c r="T1124" i="1" s="1"/>
  <c r="L1124" i="1"/>
  <c r="H1124" i="1"/>
  <c r="U1124" i="1" s="1"/>
  <c r="W1123" i="1"/>
  <c r="R1123" i="1"/>
  <c r="P1123" i="1"/>
  <c r="N1123" i="1"/>
  <c r="L1123" i="1"/>
  <c r="H1123" i="1"/>
  <c r="V1123" i="1" s="1"/>
  <c r="W1122" i="1"/>
  <c r="R1122" i="1"/>
  <c r="P1122" i="1"/>
  <c r="N1122" i="1"/>
  <c r="T1122" i="1" s="1"/>
  <c r="L1122" i="1"/>
  <c r="H1122" i="1"/>
  <c r="V1122" i="1" s="1"/>
  <c r="C1122" i="1"/>
  <c r="C1123" i="1" s="1"/>
  <c r="C1124" i="1" s="1"/>
  <c r="C1125" i="1" s="1"/>
  <c r="C1126" i="1" s="1"/>
  <c r="C1127" i="1" s="1"/>
  <c r="C1128" i="1" s="1"/>
  <c r="C1129" i="1" s="1"/>
  <c r="C1130" i="1" s="1"/>
  <c r="C1131" i="1" s="1"/>
  <c r="C1132" i="1" s="1"/>
  <c r="W1121" i="1"/>
  <c r="R1121" i="1"/>
  <c r="P1121" i="1"/>
  <c r="N1121" i="1"/>
  <c r="T1121" i="1" s="1"/>
  <c r="L1121" i="1"/>
  <c r="H1121" i="1"/>
  <c r="V1121" i="1" s="1"/>
  <c r="W1120" i="1"/>
  <c r="R1120" i="1"/>
  <c r="P1120" i="1"/>
  <c r="N1120" i="1"/>
  <c r="T1120" i="1" s="1"/>
  <c r="L1120" i="1"/>
  <c r="H1120" i="1"/>
  <c r="V1120" i="1" s="1"/>
  <c r="W1119" i="1"/>
  <c r="R1119" i="1"/>
  <c r="P1119" i="1"/>
  <c r="N1119" i="1"/>
  <c r="L1119" i="1"/>
  <c r="H1119" i="1"/>
  <c r="V1119" i="1" s="1"/>
  <c r="W1118" i="1"/>
  <c r="R1118" i="1"/>
  <c r="P1118" i="1"/>
  <c r="N1118" i="1"/>
  <c r="T1118" i="1" s="1"/>
  <c r="L1118" i="1"/>
  <c r="H1118" i="1"/>
  <c r="V1118" i="1" s="1"/>
  <c r="W1117" i="1"/>
  <c r="R1117" i="1"/>
  <c r="P1117" i="1"/>
  <c r="N1117" i="1"/>
  <c r="T1117" i="1" s="1"/>
  <c r="L1117" i="1"/>
  <c r="H1117" i="1"/>
  <c r="V1117" i="1" s="1"/>
  <c r="W1116" i="1"/>
  <c r="R1116" i="1"/>
  <c r="P1116" i="1"/>
  <c r="N1116" i="1"/>
  <c r="L1116" i="1"/>
  <c r="H1116" i="1"/>
  <c r="U1116" i="1" s="1"/>
  <c r="W1115" i="1"/>
  <c r="R1115" i="1"/>
  <c r="P1115" i="1"/>
  <c r="N1115" i="1"/>
  <c r="T1115" i="1" s="1"/>
  <c r="L1115" i="1"/>
  <c r="H1115" i="1"/>
  <c r="W1114" i="1"/>
  <c r="R1114" i="1"/>
  <c r="P1114" i="1"/>
  <c r="N1114" i="1"/>
  <c r="T1114" i="1" s="1"/>
  <c r="L1114" i="1"/>
  <c r="H1114" i="1"/>
  <c r="V1114" i="1" s="1"/>
  <c r="W1113" i="1"/>
  <c r="R1113" i="1"/>
  <c r="P1113" i="1"/>
  <c r="N1113" i="1"/>
  <c r="T1113" i="1" s="1"/>
  <c r="L1113" i="1"/>
  <c r="H1113" i="1"/>
  <c r="U1113" i="1" s="1"/>
  <c r="W1112" i="1"/>
  <c r="R1112" i="1"/>
  <c r="P1112" i="1"/>
  <c r="N1112" i="1"/>
  <c r="L1112" i="1"/>
  <c r="H1112" i="1"/>
  <c r="W1111" i="1"/>
  <c r="R1111" i="1"/>
  <c r="P1111" i="1"/>
  <c r="N1111" i="1"/>
  <c r="L1111" i="1"/>
  <c r="H1111" i="1"/>
  <c r="V1111" i="1" s="1"/>
  <c r="W1110" i="1"/>
  <c r="R1110" i="1"/>
  <c r="P1110" i="1"/>
  <c r="N1110" i="1"/>
  <c r="T1110" i="1" s="1"/>
  <c r="L1110" i="1"/>
  <c r="H1110" i="1"/>
  <c r="W1109" i="1"/>
  <c r="R1109" i="1"/>
  <c r="P1109" i="1"/>
  <c r="N1109" i="1"/>
  <c r="T1109" i="1" s="1"/>
  <c r="L1109" i="1"/>
  <c r="H1109" i="1"/>
  <c r="U1109" i="1" s="1"/>
  <c r="W1108" i="1"/>
  <c r="R1108" i="1"/>
  <c r="P1108" i="1"/>
  <c r="N1108" i="1"/>
  <c r="T1108" i="1" s="1"/>
  <c r="L1108" i="1"/>
  <c r="H1108" i="1"/>
  <c r="C1108" i="1"/>
  <c r="C1109" i="1" s="1"/>
  <c r="C1110" i="1" s="1"/>
  <c r="C1111" i="1" s="1"/>
  <c r="C1112" i="1" s="1"/>
  <c r="C1113" i="1" s="1"/>
  <c r="C1114" i="1" s="1"/>
  <c r="C1115" i="1" s="1"/>
  <c r="C1116" i="1" s="1"/>
  <c r="C1117" i="1" s="1"/>
  <c r="C1118" i="1" s="1"/>
  <c r="C1119" i="1" s="1"/>
  <c r="C1120" i="1" s="1"/>
  <c r="W1107" i="1"/>
  <c r="R1107" i="1"/>
  <c r="P1107" i="1"/>
  <c r="N1107" i="1"/>
  <c r="L1107" i="1"/>
  <c r="H1107" i="1"/>
  <c r="V1107" i="1" s="1"/>
  <c r="W1106" i="1"/>
  <c r="R1106" i="1"/>
  <c r="P1106" i="1"/>
  <c r="N1106" i="1"/>
  <c r="T1106" i="1" s="1"/>
  <c r="L1106" i="1"/>
  <c r="H1106" i="1"/>
  <c r="V1106" i="1" s="1"/>
  <c r="W1105" i="1"/>
  <c r="R1105" i="1"/>
  <c r="P1105" i="1"/>
  <c r="N1105" i="1"/>
  <c r="L1105" i="1"/>
  <c r="H1105" i="1"/>
  <c r="V1105" i="1" s="1"/>
  <c r="W1104" i="1"/>
  <c r="R1104" i="1"/>
  <c r="P1104" i="1"/>
  <c r="N1104" i="1"/>
  <c r="T1104" i="1" s="1"/>
  <c r="L1104" i="1"/>
  <c r="H1104" i="1"/>
  <c r="V1104" i="1" s="1"/>
  <c r="W1103" i="1"/>
  <c r="R1103" i="1"/>
  <c r="P1103" i="1"/>
  <c r="N1103" i="1"/>
  <c r="L1103" i="1"/>
  <c r="H1103" i="1"/>
  <c r="W1102" i="1"/>
  <c r="R1102" i="1"/>
  <c r="P1102" i="1"/>
  <c r="N1102" i="1"/>
  <c r="L1102" i="1"/>
  <c r="H1102" i="1"/>
  <c r="V1102" i="1" s="1"/>
  <c r="W1101" i="1"/>
  <c r="R1101" i="1"/>
  <c r="P1101" i="1"/>
  <c r="N1101" i="1"/>
  <c r="L1101" i="1"/>
  <c r="H1101" i="1"/>
  <c r="W1100" i="1"/>
  <c r="R1100" i="1"/>
  <c r="P1100" i="1"/>
  <c r="N1100" i="1"/>
  <c r="T1100" i="1" s="1"/>
  <c r="L1100" i="1"/>
  <c r="H1100" i="1"/>
  <c r="V1100" i="1" s="1"/>
  <c r="W1099" i="1"/>
  <c r="R1099" i="1"/>
  <c r="P1099" i="1"/>
  <c r="N1099" i="1"/>
  <c r="T1099" i="1" s="1"/>
  <c r="L1099" i="1"/>
  <c r="H1099" i="1"/>
  <c r="U1099" i="1" s="1"/>
  <c r="W1098" i="1"/>
  <c r="R1098" i="1"/>
  <c r="P1098" i="1"/>
  <c r="N1098" i="1"/>
  <c r="L1098" i="1"/>
  <c r="H1098" i="1"/>
  <c r="U1098" i="1" s="1"/>
  <c r="W1097" i="1"/>
  <c r="R1097" i="1"/>
  <c r="P1097" i="1"/>
  <c r="N1097" i="1"/>
  <c r="T1097" i="1" s="1"/>
  <c r="L1097" i="1"/>
  <c r="H1097" i="1"/>
  <c r="V1097" i="1" s="1"/>
  <c r="W1096" i="1"/>
  <c r="R1096" i="1"/>
  <c r="P1096" i="1"/>
  <c r="N1096" i="1"/>
  <c r="T1096" i="1" s="1"/>
  <c r="L1096" i="1"/>
  <c r="H1096" i="1"/>
  <c r="V1096" i="1" s="1"/>
  <c r="W1095" i="1"/>
  <c r="R1095" i="1"/>
  <c r="P1095" i="1"/>
  <c r="N1095" i="1"/>
  <c r="T1095" i="1" s="1"/>
  <c r="L1095" i="1"/>
  <c r="H1095" i="1"/>
  <c r="V1095" i="1" s="1"/>
  <c r="W1094" i="1"/>
  <c r="R1094" i="1"/>
  <c r="P1094" i="1"/>
  <c r="N1094" i="1"/>
  <c r="T1094" i="1" s="1"/>
  <c r="L1094" i="1"/>
  <c r="H1094" i="1"/>
  <c r="V1094" i="1" s="1"/>
  <c r="W1093" i="1"/>
  <c r="R1093" i="1"/>
  <c r="P1093" i="1"/>
  <c r="N1093" i="1"/>
  <c r="T1093" i="1" s="1"/>
  <c r="L1093" i="1"/>
  <c r="H1093" i="1"/>
  <c r="V1093" i="1" s="1"/>
  <c r="C1093" i="1"/>
  <c r="C1094" i="1" s="1"/>
  <c r="C1095" i="1" s="1"/>
  <c r="C1096" i="1" s="1"/>
  <c r="C1097" i="1" s="1"/>
  <c r="C1098" i="1" s="1"/>
  <c r="C1099" i="1" s="1"/>
  <c r="C1100" i="1" s="1"/>
  <c r="C1101" i="1" s="1"/>
  <c r="C1102" i="1" s="1"/>
  <c r="C1103" i="1" s="1"/>
  <c r="C1104" i="1" s="1"/>
  <c r="C1105" i="1" s="1"/>
  <c r="C1106" i="1" s="1"/>
  <c r="W1092" i="1"/>
  <c r="R1092" i="1"/>
  <c r="P1092" i="1"/>
  <c r="N1092" i="1"/>
  <c r="L1092" i="1"/>
  <c r="H1092" i="1"/>
  <c r="W1091" i="1"/>
  <c r="R1091" i="1"/>
  <c r="O1091" i="1"/>
  <c r="P1091" i="1" s="1"/>
  <c r="N1091" i="1"/>
  <c r="T1091" i="1" s="1"/>
  <c r="L1091" i="1"/>
  <c r="H1091" i="1"/>
  <c r="V1091" i="1" s="1"/>
  <c r="W1090" i="1"/>
  <c r="R1090" i="1"/>
  <c r="O1090" i="1"/>
  <c r="P1090" i="1" s="1"/>
  <c r="N1090" i="1"/>
  <c r="L1090" i="1"/>
  <c r="H1090" i="1"/>
  <c r="V1090" i="1" s="1"/>
  <c r="W1089" i="1"/>
  <c r="R1089" i="1"/>
  <c r="O1089" i="1"/>
  <c r="P1089" i="1" s="1"/>
  <c r="N1089" i="1"/>
  <c r="T1089" i="1" s="1"/>
  <c r="L1089" i="1"/>
  <c r="H1089" i="1"/>
  <c r="V1089" i="1" s="1"/>
  <c r="W1088" i="1"/>
  <c r="R1088" i="1"/>
  <c r="O1088" i="1"/>
  <c r="P1088" i="1" s="1"/>
  <c r="N1088" i="1"/>
  <c r="L1088" i="1"/>
  <c r="H1088" i="1"/>
  <c r="V1088" i="1" s="1"/>
  <c r="W1087" i="1"/>
  <c r="R1087" i="1"/>
  <c r="O1087" i="1"/>
  <c r="P1087" i="1" s="1"/>
  <c r="N1087" i="1"/>
  <c r="L1087" i="1"/>
  <c r="H1087" i="1"/>
  <c r="V1087" i="1" s="1"/>
  <c r="W1086" i="1"/>
  <c r="R1086" i="1"/>
  <c r="O1086" i="1"/>
  <c r="P1086" i="1" s="1"/>
  <c r="N1086" i="1"/>
  <c r="T1086" i="1" s="1"/>
  <c r="L1086" i="1"/>
  <c r="H1086" i="1"/>
  <c r="V1086" i="1" s="1"/>
  <c r="W1085" i="1"/>
  <c r="R1085" i="1"/>
  <c r="O1085" i="1"/>
  <c r="P1085" i="1" s="1"/>
  <c r="N1085" i="1"/>
  <c r="T1085" i="1" s="1"/>
  <c r="L1085" i="1"/>
  <c r="H1085" i="1"/>
  <c r="V1085" i="1" s="1"/>
  <c r="W1084" i="1"/>
  <c r="R1084" i="1"/>
  <c r="O1084" i="1"/>
  <c r="P1084" i="1" s="1"/>
  <c r="N1084" i="1"/>
  <c r="T1084" i="1" s="1"/>
  <c r="L1084" i="1"/>
  <c r="H1084" i="1"/>
  <c r="V1084" i="1" s="1"/>
  <c r="W1083" i="1"/>
  <c r="R1083" i="1"/>
  <c r="O1083" i="1"/>
  <c r="P1083" i="1" s="1"/>
  <c r="N1083" i="1"/>
  <c r="T1083" i="1" s="1"/>
  <c r="L1083" i="1"/>
  <c r="H1083" i="1"/>
  <c r="V1083" i="1" s="1"/>
  <c r="W1082" i="1"/>
  <c r="R1082" i="1"/>
  <c r="O1082" i="1"/>
  <c r="P1082" i="1" s="1"/>
  <c r="N1082" i="1"/>
  <c r="T1082" i="1" s="1"/>
  <c r="L1082" i="1"/>
  <c r="H1082" i="1"/>
  <c r="V1082" i="1" s="1"/>
  <c r="W1081" i="1"/>
  <c r="R1081" i="1"/>
  <c r="O1081" i="1"/>
  <c r="P1081" i="1" s="1"/>
  <c r="N1081" i="1"/>
  <c r="L1081" i="1"/>
  <c r="H1081" i="1"/>
  <c r="W1080" i="1"/>
  <c r="R1080" i="1"/>
  <c r="O1080" i="1"/>
  <c r="P1080" i="1" s="1"/>
  <c r="N1080" i="1"/>
  <c r="T1080" i="1" s="1"/>
  <c r="L1080" i="1"/>
  <c r="H1080" i="1"/>
  <c r="V1080" i="1" s="1"/>
  <c r="W1079" i="1"/>
  <c r="R1079" i="1"/>
  <c r="O1079" i="1"/>
  <c r="P1079" i="1" s="1"/>
  <c r="N1079" i="1"/>
  <c r="T1079" i="1" s="1"/>
  <c r="L1079" i="1"/>
  <c r="H1079" i="1"/>
  <c r="V1079" i="1" s="1"/>
  <c r="W1078" i="1"/>
  <c r="R1078" i="1"/>
  <c r="O1078" i="1"/>
  <c r="P1078" i="1" s="1"/>
  <c r="N1078" i="1"/>
  <c r="T1078" i="1" s="1"/>
  <c r="L1078" i="1"/>
  <c r="H1078" i="1"/>
  <c r="V1078" i="1" s="1"/>
  <c r="C1078" i="1"/>
  <c r="C1079" i="1" s="1"/>
  <c r="C1080" i="1" s="1"/>
  <c r="C1081" i="1" s="1"/>
  <c r="C1082" i="1" s="1"/>
  <c r="C1083" i="1" s="1"/>
  <c r="C1084" i="1" s="1"/>
  <c r="C1085" i="1" s="1"/>
  <c r="C1086" i="1" s="1"/>
  <c r="C1087" i="1" s="1"/>
  <c r="C1088" i="1" s="1"/>
  <c r="C1089" i="1" s="1"/>
  <c r="C1090" i="1" s="1"/>
  <c r="C1091" i="1" s="1"/>
  <c r="W1077" i="1"/>
  <c r="R1077" i="1"/>
  <c r="O1077" i="1"/>
  <c r="P1077" i="1" s="1"/>
  <c r="N1077" i="1"/>
  <c r="L1077" i="1"/>
  <c r="H1077" i="1"/>
  <c r="V1077" i="1" s="1"/>
  <c r="C1077" i="1"/>
  <c r="W1076" i="1"/>
  <c r="R1076" i="1"/>
  <c r="O1076" i="1"/>
  <c r="P1076" i="1" s="1"/>
  <c r="N1076" i="1"/>
  <c r="L1076" i="1"/>
  <c r="H1076" i="1"/>
  <c r="V1076" i="1" s="1"/>
  <c r="W1075" i="1"/>
  <c r="R1075" i="1"/>
  <c r="O1075" i="1"/>
  <c r="N1075" i="1"/>
  <c r="T1075" i="1" s="1"/>
  <c r="L1075" i="1"/>
  <c r="H1075" i="1"/>
  <c r="U1075" i="1" s="1"/>
  <c r="W1074" i="1"/>
  <c r="R1074" i="1"/>
  <c r="P1074" i="1"/>
  <c r="N1074" i="1"/>
  <c r="T1074" i="1" s="1"/>
  <c r="L1074" i="1"/>
  <c r="H1074" i="1"/>
  <c r="U1074" i="1" s="1"/>
  <c r="W1073" i="1"/>
  <c r="R1073" i="1"/>
  <c r="P1073" i="1"/>
  <c r="N1073" i="1"/>
  <c r="T1073" i="1" s="1"/>
  <c r="L1073" i="1"/>
  <c r="H1073" i="1"/>
  <c r="V1073" i="1" s="1"/>
  <c r="W1072" i="1"/>
  <c r="R1072" i="1"/>
  <c r="P1072" i="1"/>
  <c r="N1072" i="1"/>
  <c r="T1072" i="1" s="1"/>
  <c r="L1072" i="1"/>
  <c r="H1072" i="1"/>
  <c r="V1072" i="1" s="1"/>
  <c r="W1071" i="1"/>
  <c r="R1071" i="1"/>
  <c r="P1071" i="1"/>
  <c r="N1071" i="1"/>
  <c r="T1071" i="1" s="1"/>
  <c r="L1071" i="1"/>
  <c r="H1071" i="1"/>
  <c r="U1071" i="1" s="1"/>
  <c r="W1070" i="1"/>
  <c r="R1070" i="1"/>
  <c r="P1070" i="1"/>
  <c r="N1070" i="1"/>
  <c r="T1070" i="1" s="1"/>
  <c r="L1070" i="1"/>
  <c r="H1070" i="1"/>
  <c r="V1070" i="1" s="1"/>
  <c r="C1070" i="1"/>
  <c r="C1071" i="1" s="1"/>
  <c r="C1072" i="1" s="1"/>
  <c r="C1073" i="1" s="1"/>
  <c r="C1074" i="1" s="1"/>
  <c r="C1075" i="1" s="1"/>
  <c r="B1070" i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W1069" i="1"/>
  <c r="R1069" i="1"/>
  <c r="P1069" i="1"/>
  <c r="N1069" i="1"/>
  <c r="T1069" i="1" s="1"/>
  <c r="L1069" i="1"/>
  <c r="H1069" i="1"/>
  <c r="V1069" i="1" s="1"/>
  <c r="W1068" i="1"/>
  <c r="R1068" i="1"/>
  <c r="P1068" i="1"/>
  <c r="N1068" i="1"/>
  <c r="T1068" i="1" s="1"/>
  <c r="L1068" i="1"/>
  <c r="H1068" i="1"/>
  <c r="W1067" i="1"/>
  <c r="R1067" i="1"/>
  <c r="P1067" i="1"/>
  <c r="N1067" i="1"/>
  <c r="T1067" i="1" s="1"/>
  <c r="L1067" i="1"/>
  <c r="H1067" i="1"/>
  <c r="W1066" i="1"/>
  <c r="R1066" i="1"/>
  <c r="P1066" i="1"/>
  <c r="N1066" i="1"/>
  <c r="T1066" i="1" s="1"/>
  <c r="L1066" i="1"/>
  <c r="H1066" i="1"/>
  <c r="U1066" i="1" s="1"/>
  <c r="W1065" i="1"/>
  <c r="R1065" i="1"/>
  <c r="P1065" i="1"/>
  <c r="N1065" i="1"/>
  <c r="T1065" i="1" s="1"/>
  <c r="L1065" i="1"/>
  <c r="H1065" i="1"/>
  <c r="V1065" i="1" s="1"/>
  <c r="W1064" i="1"/>
  <c r="R1064" i="1"/>
  <c r="P1064" i="1"/>
  <c r="N1064" i="1"/>
  <c r="T1064" i="1" s="1"/>
  <c r="L1064" i="1"/>
  <c r="H1064" i="1"/>
  <c r="U1064" i="1" s="1"/>
  <c r="W1063" i="1"/>
  <c r="R1063" i="1"/>
  <c r="P1063" i="1"/>
  <c r="N1063" i="1"/>
  <c r="T1063" i="1" s="1"/>
  <c r="L1063" i="1"/>
  <c r="H1063" i="1"/>
  <c r="V1063" i="1" s="1"/>
  <c r="W1062" i="1"/>
  <c r="R1062" i="1"/>
  <c r="P1062" i="1"/>
  <c r="N1062" i="1"/>
  <c r="T1062" i="1" s="1"/>
  <c r="L1062" i="1"/>
  <c r="H1062" i="1"/>
  <c r="V1062" i="1" s="1"/>
  <c r="C1062" i="1"/>
  <c r="C1063" i="1" s="1"/>
  <c r="C1064" i="1" s="1"/>
  <c r="C1065" i="1" s="1"/>
  <c r="C1066" i="1" s="1"/>
  <c r="C1067" i="1" s="1"/>
  <c r="C1068" i="1" s="1"/>
  <c r="W1061" i="1"/>
  <c r="R1061" i="1"/>
  <c r="P1061" i="1"/>
  <c r="N1061" i="1"/>
  <c r="T1061" i="1" s="1"/>
  <c r="L1061" i="1"/>
  <c r="H1061" i="1"/>
  <c r="V1061" i="1" s="1"/>
  <c r="W1060" i="1"/>
  <c r="R1060" i="1"/>
  <c r="P1060" i="1"/>
  <c r="N1060" i="1"/>
  <c r="T1060" i="1" s="1"/>
  <c r="L1060" i="1"/>
  <c r="H1060" i="1"/>
  <c r="V1060" i="1" s="1"/>
  <c r="W1059" i="1"/>
  <c r="R1059" i="1"/>
  <c r="P1059" i="1"/>
  <c r="N1059" i="1"/>
  <c r="T1059" i="1" s="1"/>
  <c r="L1059" i="1"/>
  <c r="H1059" i="1"/>
  <c r="V1059" i="1" s="1"/>
  <c r="W1058" i="1"/>
  <c r="R1058" i="1"/>
  <c r="P1058" i="1"/>
  <c r="N1058" i="1"/>
  <c r="T1058" i="1" s="1"/>
  <c r="L1058" i="1"/>
  <c r="H1058" i="1"/>
  <c r="V1058" i="1" s="1"/>
  <c r="W1057" i="1"/>
  <c r="R1057" i="1"/>
  <c r="P1057" i="1"/>
  <c r="N1057" i="1"/>
  <c r="T1057" i="1" s="1"/>
  <c r="L1057" i="1"/>
  <c r="H1057" i="1"/>
  <c r="W1056" i="1"/>
  <c r="R1056" i="1"/>
  <c r="P1056" i="1"/>
  <c r="N1056" i="1"/>
  <c r="T1056" i="1" s="1"/>
  <c r="L1056" i="1"/>
  <c r="H1056" i="1"/>
  <c r="W1055" i="1"/>
  <c r="R1055" i="1"/>
  <c r="P1055" i="1"/>
  <c r="N1055" i="1"/>
  <c r="T1055" i="1" s="1"/>
  <c r="L1055" i="1"/>
  <c r="H1055" i="1"/>
  <c r="U1055" i="1" s="1"/>
  <c r="W1054" i="1"/>
  <c r="R1054" i="1"/>
  <c r="P1054" i="1"/>
  <c r="N1054" i="1"/>
  <c r="T1054" i="1" s="1"/>
  <c r="L1054" i="1"/>
  <c r="H1054" i="1"/>
  <c r="V1054" i="1" s="1"/>
  <c r="W1053" i="1"/>
  <c r="R1053" i="1"/>
  <c r="P1053" i="1"/>
  <c r="N1053" i="1"/>
  <c r="T1053" i="1" s="1"/>
  <c r="L1053" i="1"/>
  <c r="H1053" i="1"/>
  <c r="U1053" i="1" s="1"/>
  <c r="W1052" i="1"/>
  <c r="R1052" i="1"/>
  <c r="P1052" i="1"/>
  <c r="N1052" i="1"/>
  <c r="L1052" i="1"/>
  <c r="H1052" i="1"/>
  <c r="V1052" i="1" s="1"/>
  <c r="W1051" i="1"/>
  <c r="R1051" i="1"/>
  <c r="P1051" i="1"/>
  <c r="N1051" i="1"/>
  <c r="T1051" i="1" s="1"/>
  <c r="L1051" i="1"/>
  <c r="H1051" i="1"/>
  <c r="V1051" i="1" s="1"/>
  <c r="W1050" i="1"/>
  <c r="R1050" i="1"/>
  <c r="P1050" i="1"/>
  <c r="N1050" i="1"/>
  <c r="T1050" i="1" s="1"/>
  <c r="L1050" i="1"/>
  <c r="H1050" i="1"/>
  <c r="W1049" i="1"/>
  <c r="R1049" i="1"/>
  <c r="P1049" i="1"/>
  <c r="N1049" i="1"/>
  <c r="T1049" i="1" s="1"/>
  <c r="L1049" i="1"/>
  <c r="H1049" i="1"/>
  <c r="W1048" i="1"/>
  <c r="R1048" i="1"/>
  <c r="P1048" i="1"/>
  <c r="N1048" i="1"/>
  <c r="T1048" i="1" s="1"/>
  <c r="L1048" i="1"/>
  <c r="H1048" i="1"/>
  <c r="V1048" i="1" s="1"/>
  <c r="W1047" i="1"/>
  <c r="R1047" i="1"/>
  <c r="P1047" i="1"/>
  <c r="N1047" i="1"/>
  <c r="T1047" i="1" s="1"/>
  <c r="L1047" i="1"/>
  <c r="H1047" i="1"/>
  <c r="C1047" i="1"/>
  <c r="C1048" i="1" s="1"/>
  <c r="C1049" i="1" s="1"/>
  <c r="C1050" i="1" s="1"/>
  <c r="C1051" i="1" s="1"/>
  <c r="C1052" i="1" s="1"/>
  <c r="C1053" i="1" s="1"/>
  <c r="C1054" i="1" s="1"/>
  <c r="C1055" i="1" s="1"/>
  <c r="C1056" i="1" s="1"/>
  <c r="C1057" i="1" s="1"/>
  <c r="C1058" i="1" s="1"/>
  <c r="C1059" i="1" s="1"/>
  <c r="C1060" i="1" s="1"/>
  <c r="W1046" i="1"/>
  <c r="T1046" i="1"/>
  <c r="R1046" i="1"/>
  <c r="P1046" i="1"/>
  <c r="N1046" i="1"/>
  <c r="L1046" i="1"/>
  <c r="H1046" i="1"/>
  <c r="W1045" i="1"/>
  <c r="R1045" i="1"/>
  <c r="P1045" i="1"/>
  <c r="N1045" i="1"/>
  <c r="T1045" i="1" s="1"/>
  <c r="L1045" i="1"/>
  <c r="H1045" i="1"/>
  <c r="W1044" i="1"/>
  <c r="R1044" i="1"/>
  <c r="P1044" i="1"/>
  <c r="N1044" i="1"/>
  <c r="T1044" i="1" s="1"/>
  <c r="L1044" i="1"/>
  <c r="H1044" i="1"/>
  <c r="U1044" i="1" s="1"/>
  <c r="W1043" i="1"/>
  <c r="R1043" i="1"/>
  <c r="P1043" i="1"/>
  <c r="N1043" i="1"/>
  <c r="T1043" i="1" s="1"/>
  <c r="L1043" i="1"/>
  <c r="H1043" i="1"/>
  <c r="W1042" i="1"/>
  <c r="R1042" i="1"/>
  <c r="P1042" i="1"/>
  <c r="N1042" i="1"/>
  <c r="T1042" i="1" s="1"/>
  <c r="L1042" i="1"/>
  <c r="H1042" i="1"/>
  <c r="U1042" i="1" s="1"/>
  <c r="W1041" i="1"/>
  <c r="R1041" i="1"/>
  <c r="P1041" i="1"/>
  <c r="N1041" i="1"/>
  <c r="T1041" i="1" s="1"/>
  <c r="L1041" i="1"/>
  <c r="H1041" i="1"/>
  <c r="V1041" i="1" s="1"/>
  <c r="W1040" i="1"/>
  <c r="R1040" i="1"/>
  <c r="P1040" i="1"/>
  <c r="N1040" i="1"/>
  <c r="L1040" i="1"/>
  <c r="H1040" i="1"/>
  <c r="U1040" i="1" s="1"/>
  <c r="W1039" i="1"/>
  <c r="R1039" i="1"/>
  <c r="P1039" i="1"/>
  <c r="N1039" i="1"/>
  <c r="T1039" i="1" s="1"/>
  <c r="L1039" i="1"/>
  <c r="H1039" i="1"/>
  <c r="W1038" i="1"/>
  <c r="R1038" i="1"/>
  <c r="P1038" i="1"/>
  <c r="N1038" i="1"/>
  <c r="L1038" i="1"/>
  <c r="H1038" i="1"/>
  <c r="W1037" i="1"/>
  <c r="R1037" i="1"/>
  <c r="P1037" i="1"/>
  <c r="N1037" i="1"/>
  <c r="T1037" i="1" s="1"/>
  <c r="L1037" i="1"/>
  <c r="H1037" i="1"/>
  <c r="W1036" i="1"/>
  <c r="R1036" i="1"/>
  <c r="P1036" i="1"/>
  <c r="N1036" i="1"/>
  <c r="L1036" i="1"/>
  <c r="H1036" i="1"/>
  <c r="V1036" i="1" s="1"/>
  <c r="W1035" i="1"/>
  <c r="R1035" i="1"/>
  <c r="P1035" i="1"/>
  <c r="N1035" i="1"/>
  <c r="T1035" i="1" s="1"/>
  <c r="L1035" i="1"/>
  <c r="H1035" i="1"/>
  <c r="W1034" i="1"/>
  <c r="R1034" i="1"/>
  <c r="P1034" i="1"/>
  <c r="N1034" i="1"/>
  <c r="T1034" i="1" s="1"/>
  <c r="L1034" i="1"/>
  <c r="H1034" i="1"/>
  <c r="V1034" i="1" s="1"/>
  <c r="W1033" i="1"/>
  <c r="R1033" i="1"/>
  <c r="P1033" i="1"/>
  <c r="N1033" i="1"/>
  <c r="T1033" i="1" s="1"/>
  <c r="L1033" i="1"/>
  <c r="H1033" i="1"/>
  <c r="W1032" i="1"/>
  <c r="R1032" i="1"/>
  <c r="P1032" i="1"/>
  <c r="N1032" i="1"/>
  <c r="L1032" i="1"/>
  <c r="H1032" i="1"/>
  <c r="U1032" i="1" s="1"/>
  <c r="W1031" i="1"/>
  <c r="R1031" i="1"/>
  <c r="P1031" i="1"/>
  <c r="N1031" i="1"/>
  <c r="T1031" i="1" s="1"/>
  <c r="L1031" i="1"/>
  <c r="H1031" i="1"/>
  <c r="C1031" i="1"/>
  <c r="C1032" i="1" s="1"/>
  <c r="C1033" i="1" s="1"/>
  <c r="C1034" i="1" s="1"/>
  <c r="C1035" i="1" s="1"/>
  <c r="C1036" i="1" s="1"/>
  <c r="C1037" i="1" s="1"/>
  <c r="C1038" i="1" s="1"/>
  <c r="C1039" i="1" s="1"/>
  <c r="C1040" i="1" s="1"/>
  <c r="C1041" i="1" s="1"/>
  <c r="C1042" i="1" s="1"/>
  <c r="C1043" i="1" s="1"/>
  <c r="C1044" i="1" s="1"/>
  <c r="C1045" i="1" s="1"/>
  <c r="W1030" i="1"/>
  <c r="R1030" i="1"/>
  <c r="P1030" i="1"/>
  <c r="N1030" i="1"/>
  <c r="L1030" i="1"/>
  <c r="H1030" i="1"/>
  <c r="C1030" i="1"/>
  <c r="W1029" i="1"/>
  <c r="R1029" i="1"/>
  <c r="P1029" i="1"/>
  <c r="N1029" i="1"/>
  <c r="L1029" i="1"/>
  <c r="H1029" i="1"/>
  <c r="V1029" i="1" s="1"/>
  <c r="W1028" i="1"/>
  <c r="R1028" i="1"/>
  <c r="P1028" i="1"/>
  <c r="N1028" i="1"/>
  <c r="T1028" i="1" s="1"/>
  <c r="L1028" i="1"/>
  <c r="H1028" i="1"/>
  <c r="W1027" i="1"/>
  <c r="R1027" i="1"/>
  <c r="P1027" i="1"/>
  <c r="N1027" i="1"/>
  <c r="T1027" i="1" s="1"/>
  <c r="L1027" i="1"/>
  <c r="H1027" i="1"/>
  <c r="W1026" i="1"/>
  <c r="R1026" i="1"/>
  <c r="P1026" i="1"/>
  <c r="N1026" i="1"/>
  <c r="T1026" i="1" s="1"/>
  <c r="L1026" i="1"/>
  <c r="H1026" i="1"/>
  <c r="V1026" i="1" s="1"/>
  <c r="W1025" i="1"/>
  <c r="R1025" i="1"/>
  <c r="P1025" i="1"/>
  <c r="N1025" i="1"/>
  <c r="T1025" i="1" s="1"/>
  <c r="L1025" i="1"/>
  <c r="H1025" i="1"/>
  <c r="W1024" i="1"/>
  <c r="R1024" i="1"/>
  <c r="P1024" i="1"/>
  <c r="N1024" i="1"/>
  <c r="T1024" i="1" s="1"/>
  <c r="L1024" i="1"/>
  <c r="H1024" i="1"/>
  <c r="U1024" i="1" s="1"/>
  <c r="W1023" i="1"/>
  <c r="R1023" i="1"/>
  <c r="P1023" i="1"/>
  <c r="N1023" i="1"/>
  <c r="T1023" i="1" s="1"/>
  <c r="L1023" i="1"/>
  <c r="H1023" i="1"/>
  <c r="V1023" i="1" s="1"/>
  <c r="W1022" i="1"/>
  <c r="R1022" i="1"/>
  <c r="P1022" i="1"/>
  <c r="N1022" i="1"/>
  <c r="T1022" i="1" s="1"/>
  <c r="L1022" i="1"/>
  <c r="H1022" i="1"/>
  <c r="W1021" i="1"/>
  <c r="R1021" i="1"/>
  <c r="P1021" i="1"/>
  <c r="N1021" i="1"/>
  <c r="T1021" i="1" s="1"/>
  <c r="L1021" i="1"/>
  <c r="H1021" i="1"/>
  <c r="W1020" i="1"/>
  <c r="R1020" i="1"/>
  <c r="P1020" i="1"/>
  <c r="N1020" i="1"/>
  <c r="T1020" i="1" s="1"/>
  <c r="L1020" i="1"/>
  <c r="H1020" i="1"/>
  <c r="V1020" i="1" s="1"/>
  <c r="W1019" i="1"/>
  <c r="R1019" i="1"/>
  <c r="P1019" i="1"/>
  <c r="N1019" i="1"/>
  <c r="T1019" i="1" s="1"/>
  <c r="L1019" i="1"/>
  <c r="H1019" i="1"/>
  <c r="W1018" i="1"/>
  <c r="R1018" i="1"/>
  <c r="P1018" i="1"/>
  <c r="N1018" i="1"/>
  <c r="L1018" i="1"/>
  <c r="H1018" i="1"/>
  <c r="V1018" i="1" s="1"/>
  <c r="W1017" i="1"/>
  <c r="R1017" i="1"/>
  <c r="P1017" i="1"/>
  <c r="N1017" i="1"/>
  <c r="T1017" i="1" s="1"/>
  <c r="L1017" i="1"/>
  <c r="H1017" i="1"/>
  <c r="U1017" i="1" s="1"/>
  <c r="W1016" i="1"/>
  <c r="R1016" i="1"/>
  <c r="P1016" i="1"/>
  <c r="N1016" i="1"/>
  <c r="T1016" i="1" s="1"/>
  <c r="L1016" i="1"/>
  <c r="H1016" i="1"/>
  <c r="W1015" i="1"/>
  <c r="R1015" i="1"/>
  <c r="P1015" i="1"/>
  <c r="N1015" i="1"/>
  <c r="T1015" i="1" s="1"/>
  <c r="L1015" i="1"/>
  <c r="H1015" i="1"/>
  <c r="U1015" i="1" s="1"/>
  <c r="W1014" i="1"/>
  <c r="R1014" i="1"/>
  <c r="P1014" i="1"/>
  <c r="N1014" i="1"/>
  <c r="T1014" i="1" s="1"/>
  <c r="L1014" i="1"/>
  <c r="H1014" i="1"/>
  <c r="W1013" i="1"/>
  <c r="R1013" i="1"/>
  <c r="P1013" i="1"/>
  <c r="N1013" i="1"/>
  <c r="T1013" i="1" s="1"/>
  <c r="L1013" i="1"/>
  <c r="H1013" i="1"/>
  <c r="C1013" i="1"/>
  <c r="C1014" i="1" s="1"/>
  <c r="C1015" i="1" s="1"/>
  <c r="C1016" i="1" s="1"/>
  <c r="C1017" i="1" s="1"/>
  <c r="C1018" i="1" s="1"/>
  <c r="C1019" i="1" s="1"/>
  <c r="C1020" i="1" s="1"/>
  <c r="C1021" i="1" s="1"/>
  <c r="C1022" i="1" s="1"/>
  <c r="C1023" i="1" s="1"/>
  <c r="C1024" i="1" s="1"/>
  <c r="C1025" i="1" s="1"/>
  <c r="C1026" i="1" s="1"/>
  <c r="C1027" i="1" s="1"/>
  <c r="C1028" i="1" s="1"/>
  <c r="W1012" i="1"/>
  <c r="R1012" i="1"/>
  <c r="P1012" i="1"/>
  <c r="N1012" i="1"/>
  <c r="T1012" i="1" s="1"/>
  <c r="L1012" i="1"/>
  <c r="H1012" i="1"/>
  <c r="U1012" i="1" s="1"/>
  <c r="W1011" i="1"/>
  <c r="R1011" i="1"/>
  <c r="P1011" i="1"/>
  <c r="N1011" i="1"/>
  <c r="T1011" i="1" s="1"/>
  <c r="L1011" i="1"/>
  <c r="H1011" i="1"/>
  <c r="W1010" i="1"/>
  <c r="R1010" i="1"/>
  <c r="P1010" i="1"/>
  <c r="N1010" i="1"/>
  <c r="T1010" i="1" s="1"/>
  <c r="L1010" i="1"/>
  <c r="H1010" i="1"/>
  <c r="U1010" i="1" s="1"/>
  <c r="W1009" i="1"/>
  <c r="R1009" i="1"/>
  <c r="P1009" i="1"/>
  <c r="N1009" i="1"/>
  <c r="T1009" i="1" s="1"/>
  <c r="L1009" i="1"/>
  <c r="H1009" i="1"/>
  <c r="V1009" i="1" s="1"/>
  <c r="W1008" i="1"/>
  <c r="R1008" i="1"/>
  <c r="P1008" i="1"/>
  <c r="N1008" i="1"/>
  <c r="T1008" i="1" s="1"/>
  <c r="L1008" i="1"/>
  <c r="H1008" i="1"/>
  <c r="U1008" i="1" s="1"/>
  <c r="W1007" i="1"/>
  <c r="R1007" i="1"/>
  <c r="P1007" i="1"/>
  <c r="N1007" i="1"/>
  <c r="T1007" i="1" s="1"/>
  <c r="L1007" i="1"/>
  <c r="H1007" i="1"/>
  <c r="W1006" i="1"/>
  <c r="R1006" i="1"/>
  <c r="P1006" i="1"/>
  <c r="N1006" i="1"/>
  <c r="T1006" i="1" s="1"/>
  <c r="L1006" i="1"/>
  <c r="H1006" i="1"/>
  <c r="U1006" i="1" s="1"/>
  <c r="W1005" i="1"/>
  <c r="R1005" i="1"/>
  <c r="P1005" i="1"/>
  <c r="N1005" i="1"/>
  <c r="T1005" i="1" s="1"/>
  <c r="L1005" i="1"/>
  <c r="H1005" i="1"/>
  <c r="W1004" i="1"/>
  <c r="R1004" i="1"/>
  <c r="P1004" i="1"/>
  <c r="N1004" i="1"/>
  <c r="T1004" i="1" s="1"/>
  <c r="L1004" i="1"/>
  <c r="H1004" i="1"/>
  <c r="U1004" i="1" s="1"/>
  <c r="W1003" i="1"/>
  <c r="R1003" i="1"/>
  <c r="P1003" i="1"/>
  <c r="N1003" i="1"/>
  <c r="T1003" i="1" s="1"/>
  <c r="L1003" i="1"/>
  <c r="H1003" i="1"/>
  <c r="W1002" i="1"/>
  <c r="R1002" i="1"/>
  <c r="P1002" i="1"/>
  <c r="N1002" i="1"/>
  <c r="T1002" i="1" s="1"/>
  <c r="L1002" i="1"/>
  <c r="H1002" i="1"/>
  <c r="W1001" i="1"/>
  <c r="R1001" i="1"/>
  <c r="P1001" i="1"/>
  <c r="N1001" i="1"/>
  <c r="T1001" i="1" s="1"/>
  <c r="L1001" i="1"/>
  <c r="H1001" i="1"/>
  <c r="C1001" i="1"/>
  <c r="C1002" i="1" s="1"/>
  <c r="C1003" i="1" s="1"/>
  <c r="C1004" i="1" s="1"/>
  <c r="C1005" i="1" s="1"/>
  <c r="C1006" i="1" s="1"/>
  <c r="C1007" i="1" s="1"/>
  <c r="C1008" i="1" s="1"/>
  <c r="C1009" i="1" s="1"/>
  <c r="C1010" i="1" s="1"/>
  <c r="C1011" i="1" s="1"/>
  <c r="W1000" i="1"/>
  <c r="R1000" i="1"/>
  <c r="P1000" i="1"/>
  <c r="N1000" i="1"/>
  <c r="T1000" i="1" s="1"/>
  <c r="L1000" i="1"/>
  <c r="H1000" i="1"/>
  <c r="V1000" i="1" s="1"/>
  <c r="W999" i="1"/>
  <c r="R999" i="1"/>
  <c r="P999" i="1"/>
  <c r="N999" i="1"/>
  <c r="T999" i="1" s="1"/>
  <c r="L999" i="1"/>
  <c r="H999" i="1"/>
  <c r="U999" i="1" s="1"/>
  <c r="W998" i="1"/>
  <c r="R998" i="1"/>
  <c r="P998" i="1"/>
  <c r="N998" i="1"/>
  <c r="T998" i="1" s="1"/>
  <c r="L998" i="1"/>
  <c r="H998" i="1"/>
  <c r="W997" i="1"/>
  <c r="R997" i="1"/>
  <c r="P997" i="1"/>
  <c r="N997" i="1"/>
  <c r="T997" i="1" s="1"/>
  <c r="L997" i="1"/>
  <c r="H997" i="1"/>
  <c r="W996" i="1"/>
  <c r="R996" i="1"/>
  <c r="P996" i="1"/>
  <c r="N996" i="1"/>
  <c r="T996" i="1" s="1"/>
  <c r="L996" i="1"/>
  <c r="H996" i="1"/>
  <c r="U996" i="1" s="1"/>
  <c r="W995" i="1"/>
  <c r="R995" i="1"/>
  <c r="P995" i="1"/>
  <c r="N995" i="1"/>
  <c r="T995" i="1" s="1"/>
  <c r="L995" i="1"/>
  <c r="H995" i="1"/>
  <c r="V995" i="1" s="1"/>
  <c r="W994" i="1"/>
  <c r="T994" i="1"/>
  <c r="R994" i="1"/>
  <c r="P994" i="1"/>
  <c r="N994" i="1"/>
  <c r="L994" i="1"/>
  <c r="H994" i="1"/>
  <c r="W993" i="1"/>
  <c r="R993" i="1"/>
  <c r="P993" i="1"/>
  <c r="N993" i="1"/>
  <c r="T993" i="1" s="1"/>
  <c r="L993" i="1"/>
  <c r="H993" i="1"/>
  <c r="V993" i="1" s="1"/>
  <c r="C993" i="1"/>
  <c r="C994" i="1" s="1"/>
  <c r="C995" i="1" s="1"/>
  <c r="C996" i="1" s="1"/>
  <c r="C997" i="1" s="1"/>
  <c r="C998" i="1" s="1"/>
  <c r="C999" i="1" s="1"/>
  <c r="W992" i="1"/>
  <c r="R992" i="1"/>
  <c r="P992" i="1"/>
  <c r="N992" i="1"/>
  <c r="L992" i="1"/>
  <c r="H992" i="1"/>
  <c r="V992" i="1" s="1"/>
  <c r="W991" i="1"/>
  <c r="R991" i="1"/>
  <c r="P991" i="1"/>
  <c r="N991" i="1"/>
  <c r="T991" i="1" s="1"/>
  <c r="L991" i="1"/>
  <c r="H991" i="1"/>
  <c r="U991" i="1" s="1"/>
  <c r="W990" i="1"/>
  <c r="R990" i="1"/>
  <c r="P990" i="1"/>
  <c r="N990" i="1"/>
  <c r="T990" i="1" s="1"/>
  <c r="L990" i="1"/>
  <c r="H990" i="1"/>
  <c r="U990" i="1" s="1"/>
  <c r="W989" i="1"/>
  <c r="R989" i="1"/>
  <c r="P989" i="1"/>
  <c r="N989" i="1"/>
  <c r="T989" i="1" s="1"/>
  <c r="L989" i="1"/>
  <c r="H989" i="1"/>
  <c r="V989" i="1" s="1"/>
  <c r="W988" i="1"/>
  <c r="R988" i="1"/>
  <c r="P988" i="1"/>
  <c r="N988" i="1"/>
  <c r="T988" i="1" s="1"/>
  <c r="L988" i="1"/>
  <c r="H988" i="1"/>
  <c r="U988" i="1" s="1"/>
  <c r="W987" i="1"/>
  <c r="R987" i="1"/>
  <c r="P987" i="1"/>
  <c r="N987" i="1"/>
  <c r="T987" i="1" s="1"/>
  <c r="L987" i="1"/>
  <c r="H987" i="1"/>
  <c r="W986" i="1"/>
  <c r="R986" i="1"/>
  <c r="P986" i="1"/>
  <c r="N986" i="1"/>
  <c r="T986" i="1" s="1"/>
  <c r="L986" i="1"/>
  <c r="H986" i="1"/>
  <c r="W985" i="1"/>
  <c r="R985" i="1"/>
  <c r="P985" i="1"/>
  <c r="N985" i="1"/>
  <c r="T985" i="1" s="1"/>
  <c r="L985" i="1"/>
  <c r="H985" i="1"/>
  <c r="U985" i="1" s="1"/>
  <c r="W984" i="1"/>
  <c r="R984" i="1"/>
  <c r="P984" i="1"/>
  <c r="N984" i="1"/>
  <c r="T984" i="1" s="1"/>
  <c r="L984" i="1"/>
  <c r="H984" i="1"/>
  <c r="V984" i="1" s="1"/>
  <c r="W983" i="1"/>
  <c r="R983" i="1"/>
  <c r="P983" i="1"/>
  <c r="N983" i="1"/>
  <c r="T983" i="1" s="1"/>
  <c r="L983" i="1"/>
  <c r="H983" i="1"/>
  <c r="W982" i="1"/>
  <c r="R982" i="1"/>
  <c r="P982" i="1"/>
  <c r="N982" i="1"/>
  <c r="T982" i="1" s="1"/>
  <c r="L982" i="1"/>
  <c r="H982" i="1"/>
  <c r="V982" i="1" s="1"/>
  <c r="W981" i="1"/>
  <c r="R981" i="1"/>
  <c r="P981" i="1"/>
  <c r="N981" i="1"/>
  <c r="T981" i="1" s="1"/>
  <c r="L981" i="1"/>
  <c r="H981" i="1"/>
  <c r="W980" i="1"/>
  <c r="R980" i="1"/>
  <c r="P980" i="1"/>
  <c r="N980" i="1"/>
  <c r="T980" i="1" s="1"/>
  <c r="L980" i="1"/>
  <c r="H980" i="1"/>
  <c r="V980" i="1" s="1"/>
  <c r="W979" i="1"/>
  <c r="R979" i="1"/>
  <c r="P979" i="1"/>
  <c r="N979" i="1"/>
  <c r="T979" i="1" s="1"/>
  <c r="L979" i="1"/>
  <c r="H979" i="1"/>
  <c r="W978" i="1"/>
  <c r="R978" i="1"/>
  <c r="P978" i="1"/>
  <c r="N978" i="1"/>
  <c r="T978" i="1" s="1"/>
  <c r="L978" i="1"/>
  <c r="H978" i="1"/>
  <c r="U978" i="1" s="1"/>
  <c r="W977" i="1"/>
  <c r="R977" i="1"/>
  <c r="P977" i="1"/>
  <c r="N977" i="1"/>
  <c r="L977" i="1"/>
  <c r="H977" i="1"/>
  <c r="V977" i="1" s="1"/>
  <c r="W976" i="1"/>
  <c r="R976" i="1"/>
  <c r="P976" i="1"/>
  <c r="N976" i="1"/>
  <c r="T976" i="1" s="1"/>
  <c r="L976" i="1"/>
  <c r="H976" i="1"/>
  <c r="U976" i="1" s="1"/>
  <c r="W975" i="1"/>
  <c r="R975" i="1"/>
  <c r="P975" i="1"/>
  <c r="N975" i="1"/>
  <c r="T975" i="1" s="1"/>
  <c r="L975" i="1"/>
  <c r="H975" i="1"/>
  <c r="W974" i="1"/>
  <c r="R974" i="1"/>
  <c r="P974" i="1"/>
  <c r="N974" i="1"/>
  <c r="T974" i="1" s="1"/>
  <c r="L974" i="1"/>
  <c r="H974" i="1"/>
  <c r="W973" i="1"/>
  <c r="R973" i="1"/>
  <c r="P973" i="1"/>
  <c r="N973" i="1"/>
  <c r="T973" i="1" s="1"/>
  <c r="L973" i="1"/>
  <c r="H973" i="1"/>
  <c r="W972" i="1"/>
  <c r="R972" i="1"/>
  <c r="P972" i="1"/>
  <c r="N972" i="1"/>
  <c r="T972" i="1" s="1"/>
  <c r="L972" i="1"/>
  <c r="H972" i="1"/>
  <c r="V972" i="1" s="1"/>
  <c r="C972" i="1"/>
  <c r="C973" i="1" s="1"/>
  <c r="C974" i="1" s="1"/>
  <c r="C975" i="1" s="1"/>
  <c r="C976" i="1" s="1"/>
  <c r="C977" i="1" s="1"/>
  <c r="C978" i="1" s="1"/>
  <c r="C979" i="1" s="1"/>
  <c r="C980" i="1" s="1"/>
  <c r="C981" i="1" s="1"/>
  <c r="C982" i="1" s="1"/>
  <c r="C983" i="1" s="1"/>
  <c r="C984" i="1" s="1"/>
  <c r="C985" i="1" s="1"/>
  <c r="C986" i="1" s="1"/>
  <c r="C987" i="1" s="1"/>
  <c r="C988" i="1" s="1"/>
  <c r="C989" i="1" s="1"/>
  <c r="C990" i="1" s="1"/>
  <c r="C991" i="1" s="1"/>
  <c r="W971" i="1"/>
  <c r="R971" i="1"/>
  <c r="P971" i="1"/>
  <c r="N971" i="1"/>
  <c r="T971" i="1" s="1"/>
  <c r="L971" i="1"/>
  <c r="H971" i="1"/>
  <c r="W970" i="1"/>
  <c r="R970" i="1"/>
  <c r="P970" i="1"/>
  <c r="N970" i="1"/>
  <c r="L970" i="1"/>
  <c r="H970" i="1"/>
  <c r="V970" i="1" s="1"/>
  <c r="W969" i="1"/>
  <c r="R969" i="1"/>
  <c r="P969" i="1"/>
  <c r="N969" i="1"/>
  <c r="T969" i="1" s="1"/>
  <c r="L969" i="1"/>
  <c r="H969" i="1"/>
  <c r="V969" i="1" s="1"/>
  <c r="W968" i="1"/>
  <c r="R968" i="1"/>
  <c r="P968" i="1"/>
  <c r="N968" i="1"/>
  <c r="T968" i="1" s="1"/>
  <c r="L968" i="1"/>
  <c r="H968" i="1"/>
  <c r="U968" i="1" s="1"/>
  <c r="W967" i="1"/>
  <c r="R967" i="1"/>
  <c r="P967" i="1"/>
  <c r="N967" i="1"/>
  <c r="T967" i="1" s="1"/>
  <c r="L967" i="1"/>
  <c r="H967" i="1"/>
  <c r="V967" i="1" s="1"/>
  <c r="W966" i="1"/>
  <c r="R966" i="1"/>
  <c r="P966" i="1"/>
  <c r="N966" i="1"/>
  <c r="T966" i="1" s="1"/>
  <c r="L966" i="1"/>
  <c r="H966" i="1"/>
  <c r="V966" i="1" s="1"/>
  <c r="W965" i="1"/>
  <c r="R965" i="1"/>
  <c r="P965" i="1"/>
  <c r="N965" i="1"/>
  <c r="L965" i="1"/>
  <c r="H965" i="1"/>
  <c r="U965" i="1" s="1"/>
  <c r="W964" i="1"/>
  <c r="R964" i="1"/>
  <c r="P964" i="1"/>
  <c r="N964" i="1"/>
  <c r="L964" i="1"/>
  <c r="H964" i="1"/>
  <c r="V964" i="1" s="1"/>
  <c r="W963" i="1"/>
  <c r="R963" i="1"/>
  <c r="P963" i="1"/>
  <c r="N963" i="1"/>
  <c r="T963" i="1" s="1"/>
  <c r="L963" i="1"/>
  <c r="H963" i="1"/>
  <c r="W962" i="1"/>
  <c r="R962" i="1"/>
  <c r="P962" i="1"/>
  <c r="N962" i="1"/>
  <c r="L962" i="1"/>
  <c r="H962" i="1"/>
  <c r="W961" i="1"/>
  <c r="R961" i="1"/>
  <c r="P961" i="1"/>
  <c r="N961" i="1"/>
  <c r="T961" i="1" s="1"/>
  <c r="L961" i="1"/>
  <c r="H961" i="1"/>
  <c r="V961" i="1" s="1"/>
  <c r="W960" i="1"/>
  <c r="R960" i="1"/>
  <c r="P960" i="1"/>
  <c r="N960" i="1"/>
  <c r="T960" i="1" s="1"/>
  <c r="L960" i="1"/>
  <c r="H960" i="1"/>
  <c r="W959" i="1"/>
  <c r="R959" i="1"/>
  <c r="P959" i="1"/>
  <c r="N959" i="1"/>
  <c r="T959" i="1" s="1"/>
  <c r="L959" i="1"/>
  <c r="H959" i="1"/>
  <c r="V959" i="1" s="1"/>
  <c r="W958" i="1"/>
  <c r="R958" i="1"/>
  <c r="P958" i="1"/>
  <c r="N958" i="1"/>
  <c r="T958" i="1" s="1"/>
  <c r="L958" i="1"/>
  <c r="H958" i="1"/>
  <c r="V958" i="1" s="1"/>
  <c r="C958" i="1"/>
  <c r="C959" i="1" s="1"/>
  <c r="C960" i="1" s="1"/>
  <c r="C961" i="1" s="1"/>
  <c r="C962" i="1" s="1"/>
  <c r="C963" i="1" s="1"/>
  <c r="C964" i="1" s="1"/>
  <c r="C965" i="1" s="1"/>
  <c r="C966" i="1" s="1"/>
  <c r="C967" i="1" s="1"/>
  <c r="C968" i="1" s="1"/>
  <c r="C969" i="1" s="1"/>
  <c r="C970" i="1" s="1"/>
  <c r="W957" i="1"/>
  <c r="R957" i="1"/>
  <c r="P957" i="1"/>
  <c r="N957" i="1"/>
  <c r="L957" i="1"/>
  <c r="H957" i="1"/>
  <c r="W956" i="1"/>
  <c r="R956" i="1"/>
  <c r="P956" i="1"/>
  <c r="T956" i="1" s="1"/>
  <c r="N956" i="1"/>
  <c r="L956" i="1"/>
  <c r="H956" i="1"/>
  <c r="V956" i="1" s="1"/>
  <c r="W955" i="1"/>
  <c r="R955" i="1"/>
  <c r="P955" i="1"/>
  <c r="N955" i="1"/>
  <c r="L955" i="1"/>
  <c r="H955" i="1"/>
  <c r="V955" i="1" s="1"/>
  <c r="W954" i="1"/>
  <c r="R954" i="1"/>
  <c r="P954" i="1"/>
  <c r="N954" i="1"/>
  <c r="T954" i="1" s="1"/>
  <c r="L954" i="1"/>
  <c r="H954" i="1"/>
  <c r="U954" i="1" s="1"/>
  <c r="W953" i="1"/>
  <c r="R953" i="1"/>
  <c r="P953" i="1"/>
  <c r="N953" i="1"/>
  <c r="T953" i="1" s="1"/>
  <c r="L953" i="1"/>
  <c r="H953" i="1"/>
  <c r="V953" i="1" s="1"/>
  <c r="W952" i="1"/>
  <c r="R952" i="1"/>
  <c r="P952" i="1"/>
  <c r="N952" i="1"/>
  <c r="T952" i="1" s="1"/>
  <c r="L952" i="1"/>
  <c r="H952" i="1"/>
  <c r="W951" i="1"/>
  <c r="R951" i="1"/>
  <c r="P951" i="1"/>
  <c r="N951" i="1"/>
  <c r="T951" i="1" s="1"/>
  <c r="L951" i="1"/>
  <c r="H951" i="1"/>
  <c r="U951" i="1" s="1"/>
  <c r="W950" i="1"/>
  <c r="R950" i="1"/>
  <c r="P950" i="1"/>
  <c r="N950" i="1"/>
  <c r="T950" i="1" s="1"/>
  <c r="L950" i="1"/>
  <c r="H950" i="1"/>
  <c r="V950" i="1" s="1"/>
  <c r="W949" i="1"/>
  <c r="R949" i="1"/>
  <c r="P949" i="1"/>
  <c r="N949" i="1"/>
  <c r="L949" i="1"/>
  <c r="H949" i="1"/>
  <c r="W948" i="1"/>
  <c r="V948" i="1"/>
  <c r="R948" i="1"/>
  <c r="P948" i="1"/>
  <c r="N948" i="1"/>
  <c r="T948" i="1" s="1"/>
  <c r="L948" i="1"/>
  <c r="H948" i="1"/>
  <c r="U948" i="1" s="1"/>
  <c r="W947" i="1"/>
  <c r="R947" i="1"/>
  <c r="P947" i="1"/>
  <c r="N947" i="1"/>
  <c r="T947" i="1" s="1"/>
  <c r="L947" i="1"/>
  <c r="H947" i="1"/>
  <c r="W946" i="1"/>
  <c r="R946" i="1"/>
  <c r="P946" i="1"/>
  <c r="N946" i="1"/>
  <c r="T946" i="1" s="1"/>
  <c r="L946" i="1"/>
  <c r="H946" i="1"/>
  <c r="W945" i="1"/>
  <c r="R945" i="1"/>
  <c r="P945" i="1"/>
  <c r="N945" i="1"/>
  <c r="T945" i="1" s="1"/>
  <c r="L945" i="1"/>
  <c r="H945" i="1"/>
  <c r="V945" i="1" s="1"/>
  <c r="W944" i="1"/>
  <c r="R944" i="1"/>
  <c r="P944" i="1"/>
  <c r="N944" i="1"/>
  <c r="T944" i="1" s="1"/>
  <c r="L944" i="1"/>
  <c r="H944" i="1"/>
  <c r="V944" i="1" s="1"/>
  <c r="W943" i="1"/>
  <c r="R943" i="1"/>
  <c r="P943" i="1"/>
  <c r="N943" i="1"/>
  <c r="T943" i="1" s="1"/>
  <c r="L943" i="1"/>
  <c r="H943" i="1"/>
  <c r="V943" i="1" s="1"/>
  <c r="W942" i="1"/>
  <c r="R942" i="1"/>
  <c r="P942" i="1"/>
  <c r="N942" i="1"/>
  <c r="T942" i="1" s="1"/>
  <c r="L942" i="1"/>
  <c r="H942" i="1"/>
  <c r="W941" i="1"/>
  <c r="R941" i="1"/>
  <c r="P941" i="1"/>
  <c r="N941" i="1"/>
  <c r="T941" i="1" s="1"/>
  <c r="L941" i="1"/>
  <c r="H941" i="1"/>
  <c r="V941" i="1" s="1"/>
  <c r="W940" i="1"/>
  <c r="R940" i="1"/>
  <c r="P940" i="1"/>
  <c r="N940" i="1"/>
  <c r="T940" i="1" s="1"/>
  <c r="L940" i="1"/>
  <c r="H940" i="1"/>
  <c r="C940" i="1"/>
  <c r="C941" i="1" s="1"/>
  <c r="C942" i="1" s="1"/>
  <c r="C943" i="1" s="1"/>
  <c r="C944" i="1" s="1"/>
  <c r="C945" i="1" s="1"/>
  <c r="C946" i="1" s="1"/>
  <c r="C947" i="1" s="1"/>
  <c r="C948" i="1" s="1"/>
  <c r="C949" i="1" s="1"/>
  <c r="C950" i="1" s="1"/>
  <c r="C951" i="1" s="1"/>
  <c r="C952" i="1" s="1"/>
  <c r="C953" i="1" s="1"/>
  <c r="C954" i="1" s="1"/>
  <c r="C955" i="1" s="1"/>
  <c r="C956" i="1" s="1"/>
  <c r="W939" i="1"/>
  <c r="R939" i="1"/>
  <c r="P939" i="1"/>
  <c r="N939" i="1"/>
  <c r="T939" i="1" s="1"/>
  <c r="L939" i="1"/>
  <c r="H939" i="1"/>
  <c r="U939" i="1" s="1"/>
  <c r="W938" i="1"/>
  <c r="R938" i="1"/>
  <c r="P938" i="1"/>
  <c r="N938" i="1"/>
  <c r="T938" i="1" s="1"/>
  <c r="L938" i="1"/>
  <c r="H938" i="1"/>
  <c r="V938" i="1" s="1"/>
  <c r="W937" i="1"/>
  <c r="R937" i="1"/>
  <c r="P937" i="1"/>
  <c r="N937" i="1"/>
  <c r="T937" i="1" s="1"/>
  <c r="L937" i="1"/>
  <c r="H937" i="1"/>
  <c r="W936" i="1"/>
  <c r="R936" i="1"/>
  <c r="P936" i="1"/>
  <c r="N936" i="1"/>
  <c r="T936" i="1" s="1"/>
  <c r="L936" i="1"/>
  <c r="H936" i="1"/>
  <c r="V936" i="1" s="1"/>
  <c r="C936" i="1"/>
  <c r="C937" i="1" s="1"/>
  <c r="C938" i="1" s="1"/>
  <c r="C939" i="1" s="1"/>
  <c r="W935" i="1"/>
  <c r="R935" i="1"/>
  <c r="P935" i="1"/>
  <c r="N935" i="1"/>
  <c r="T935" i="1" s="1"/>
  <c r="L935" i="1"/>
  <c r="H935" i="1"/>
  <c r="W934" i="1"/>
  <c r="R934" i="1"/>
  <c r="P934" i="1"/>
  <c r="N934" i="1"/>
  <c r="T934" i="1" s="1"/>
  <c r="L934" i="1"/>
  <c r="H934" i="1"/>
  <c r="W933" i="1"/>
  <c r="R933" i="1"/>
  <c r="P933" i="1"/>
  <c r="N933" i="1"/>
  <c r="L933" i="1"/>
  <c r="H933" i="1"/>
  <c r="W932" i="1"/>
  <c r="R932" i="1"/>
  <c r="P932" i="1"/>
  <c r="N932" i="1"/>
  <c r="L932" i="1"/>
  <c r="H932" i="1"/>
  <c r="W931" i="1"/>
  <c r="R931" i="1"/>
  <c r="P931" i="1"/>
  <c r="N931" i="1"/>
  <c r="L931" i="1"/>
  <c r="H931" i="1"/>
  <c r="W930" i="1"/>
  <c r="R930" i="1"/>
  <c r="P930" i="1"/>
  <c r="N930" i="1"/>
  <c r="L930" i="1"/>
  <c r="H930" i="1"/>
  <c r="U930" i="1" s="1"/>
  <c r="W929" i="1"/>
  <c r="R929" i="1"/>
  <c r="P929" i="1"/>
  <c r="N929" i="1"/>
  <c r="L929" i="1"/>
  <c r="H929" i="1"/>
  <c r="V929" i="1" s="1"/>
  <c r="W928" i="1"/>
  <c r="R928" i="1"/>
  <c r="P928" i="1"/>
  <c r="N928" i="1"/>
  <c r="L928" i="1"/>
  <c r="H928" i="1"/>
  <c r="U928" i="1" s="1"/>
  <c r="C928" i="1"/>
  <c r="C929" i="1" s="1"/>
  <c r="C930" i="1" s="1"/>
  <c r="C931" i="1" s="1"/>
  <c r="C932" i="1" s="1"/>
  <c r="C933" i="1" s="1"/>
  <c r="C934" i="1" s="1"/>
  <c r="B928" i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W927" i="1"/>
  <c r="R927" i="1"/>
  <c r="P927" i="1"/>
  <c r="N927" i="1"/>
  <c r="L927" i="1"/>
  <c r="H927" i="1"/>
  <c r="W926" i="1"/>
  <c r="R926" i="1"/>
  <c r="P926" i="1"/>
  <c r="N926" i="1"/>
  <c r="T926" i="1" s="1"/>
  <c r="L926" i="1"/>
  <c r="H926" i="1"/>
  <c r="U926" i="1" s="1"/>
  <c r="W925" i="1"/>
  <c r="R925" i="1"/>
  <c r="P925" i="1"/>
  <c r="N925" i="1"/>
  <c r="T925" i="1" s="1"/>
  <c r="L925" i="1"/>
  <c r="H925" i="1"/>
  <c r="V925" i="1" s="1"/>
  <c r="W924" i="1"/>
  <c r="R924" i="1"/>
  <c r="P924" i="1"/>
  <c r="N924" i="1"/>
  <c r="T924" i="1" s="1"/>
  <c r="L924" i="1"/>
  <c r="H924" i="1"/>
  <c r="V924" i="1" s="1"/>
  <c r="W923" i="1"/>
  <c r="R923" i="1"/>
  <c r="P923" i="1"/>
  <c r="N923" i="1"/>
  <c r="T923" i="1" s="1"/>
  <c r="L923" i="1"/>
  <c r="H923" i="1"/>
  <c r="W922" i="1"/>
  <c r="R922" i="1"/>
  <c r="P922" i="1"/>
  <c r="N922" i="1"/>
  <c r="T922" i="1" s="1"/>
  <c r="L922" i="1"/>
  <c r="H922" i="1"/>
  <c r="V922" i="1" s="1"/>
  <c r="W921" i="1"/>
  <c r="R921" i="1"/>
  <c r="P921" i="1"/>
  <c r="N921" i="1"/>
  <c r="T921" i="1" s="1"/>
  <c r="L921" i="1"/>
  <c r="H921" i="1"/>
  <c r="W920" i="1"/>
  <c r="R920" i="1"/>
  <c r="P920" i="1"/>
  <c r="N920" i="1"/>
  <c r="L920" i="1"/>
  <c r="H920" i="1"/>
  <c r="U920" i="1" s="1"/>
  <c r="W919" i="1"/>
  <c r="R919" i="1"/>
  <c r="P919" i="1"/>
  <c r="N919" i="1"/>
  <c r="T919" i="1" s="1"/>
  <c r="L919" i="1"/>
  <c r="H919" i="1"/>
  <c r="V919" i="1" s="1"/>
  <c r="C919" i="1"/>
  <c r="C920" i="1" s="1"/>
  <c r="C921" i="1" s="1"/>
  <c r="C922" i="1" s="1"/>
  <c r="C923" i="1" s="1"/>
  <c r="C924" i="1" s="1"/>
  <c r="C925" i="1" s="1"/>
  <c r="C926" i="1" s="1"/>
  <c r="W918" i="1"/>
  <c r="R918" i="1"/>
  <c r="P918" i="1"/>
  <c r="N918" i="1"/>
  <c r="T918" i="1" s="1"/>
  <c r="L918" i="1"/>
  <c r="H918" i="1"/>
  <c r="W917" i="1"/>
  <c r="R917" i="1"/>
  <c r="P917" i="1"/>
  <c r="N917" i="1"/>
  <c r="T917" i="1" s="1"/>
  <c r="L917" i="1"/>
  <c r="H917" i="1"/>
  <c r="V917" i="1" s="1"/>
  <c r="W916" i="1"/>
  <c r="R916" i="1"/>
  <c r="P916" i="1"/>
  <c r="N916" i="1"/>
  <c r="L916" i="1"/>
  <c r="H916" i="1"/>
  <c r="U916" i="1" s="1"/>
  <c r="W915" i="1"/>
  <c r="R915" i="1"/>
  <c r="P915" i="1"/>
  <c r="N915" i="1"/>
  <c r="T915" i="1" s="1"/>
  <c r="L915" i="1"/>
  <c r="H915" i="1"/>
  <c r="W914" i="1"/>
  <c r="R914" i="1"/>
  <c r="P914" i="1"/>
  <c r="N914" i="1"/>
  <c r="T914" i="1" s="1"/>
  <c r="L914" i="1"/>
  <c r="H914" i="1"/>
  <c r="W913" i="1"/>
  <c r="R913" i="1"/>
  <c r="P913" i="1"/>
  <c r="N913" i="1"/>
  <c r="T913" i="1" s="1"/>
  <c r="L913" i="1"/>
  <c r="H913" i="1"/>
  <c r="V913" i="1" s="1"/>
  <c r="W912" i="1"/>
  <c r="R912" i="1"/>
  <c r="P912" i="1"/>
  <c r="N912" i="1"/>
  <c r="T912" i="1" s="1"/>
  <c r="L912" i="1"/>
  <c r="H912" i="1"/>
  <c r="U912" i="1" s="1"/>
  <c r="W911" i="1"/>
  <c r="R911" i="1"/>
  <c r="P911" i="1"/>
  <c r="N911" i="1"/>
  <c r="T911" i="1" s="1"/>
  <c r="L911" i="1"/>
  <c r="H911" i="1"/>
  <c r="W910" i="1"/>
  <c r="R910" i="1"/>
  <c r="P910" i="1"/>
  <c r="N910" i="1"/>
  <c r="T910" i="1" s="1"/>
  <c r="L910" i="1"/>
  <c r="H910" i="1"/>
  <c r="U910" i="1" s="1"/>
  <c r="W909" i="1"/>
  <c r="R909" i="1"/>
  <c r="P909" i="1"/>
  <c r="N909" i="1"/>
  <c r="T909" i="1" s="1"/>
  <c r="L909" i="1"/>
  <c r="H909" i="1"/>
  <c r="V909" i="1" s="1"/>
  <c r="W908" i="1"/>
  <c r="R908" i="1"/>
  <c r="P908" i="1"/>
  <c r="N908" i="1"/>
  <c r="T908" i="1" s="1"/>
  <c r="L908" i="1"/>
  <c r="H908" i="1"/>
  <c r="W907" i="1"/>
  <c r="R907" i="1"/>
  <c r="P907" i="1"/>
  <c r="N907" i="1"/>
  <c r="T907" i="1" s="1"/>
  <c r="L907" i="1"/>
  <c r="H907" i="1"/>
  <c r="W906" i="1"/>
  <c r="R906" i="1"/>
  <c r="P906" i="1"/>
  <c r="N906" i="1"/>
  <c r="T906" i="1" s="1"/>
  <c r="L906" i="1"/>
  <c r="H906" i="1"/>
  <c r="W905" i="1"/>
  <c r="R905" i="1"/>
  <c r="P905" i="1"/>
  <c r="N905" i="1"/>
  <c r="T905" i="1" s="1"/>
  <c r="L905" i="1"/>
  <c r="H905" i="1"/>
  <c r="U905" i="1" s="1"/>
  <c r="W904" i="1"/>
  <c r="R904" i="1"/>
  <c r="P904" i="1"/>
  <c r="N904" i="1"/>
  <c r="T904" i="1" s="1"/>
  <c r="L904" i="1"/>
  <c r="H904" i="1"/>
  <c r="U904" i="1" s="1"/>
  <c r="W903" i="1"/>
  <c r="R903" i="1"/>
  <c r="P903" i="1"/>
  <c r="N903" i="1"/>
  <c r="T903" i="1" s="1"/>
  <c r="L903" i="1"/>
  <c r="H903" i="1"/>
  <c r="U903" i="1" s="1"/>
  <c r="W902" i="1"/>
  <c r="R902" i="1"/>
  <c r="P902" i="1"/>
  <c r="N902" i="1"/>
  <c r="T902" i="1" s="1"/>
  <c r="L902" i="1"/>
  <c r="H902" i="1"/>
  <c r="W901" i="1"/>
  <c r="R901" i="1"/>
  <c r="P901" i="1"/>
  <c r="N901" i="1"/>
  <c r="T901" i="1" s="1"/>
  <c r="L901" i="1"/>
  <c r="H901" i="1"/>
  <c r="V901" i="1" s="1"/>
  <c r="W900" i="1"/>
  <c r="R900" i="1"/>
  <c r="P900" i="1"/>
  <c r="N900" i="1"/>
  <c r="T900" i="1" s="1"/>
  <c r="L900" i="1"/>
  <c r="H900" i="1"/>
  <c r="V900" i="1" s="1"/>
  <c r="W899" i="1"/>
  <c r="R899" i="1"/>
  <c r="P899" i="1"/>
  <c r="N899" i="1"/>
  <c r="T899" i="1" s="1"/>
  <c r="L899" i="1"/>
  <c r="H899" i="1"/>
  <c r="W898" i="1"/>
  <c r="R898" i="1"/>
  <c r="P898" i="1"/>
  <c r="N898" i="1"/>
  <c r="T898" i="1" s="1"/>
  <c r="L898" i="1"/>
  <c r="H898" i="1"/>
  <c r="W897" i="1"/>
  <c r="R897" i="1"/>
  <c r="P897" i="1"/>
  <c r="N897" i="1"/>
  <c r="T897" i="1" s="1"/>
  <c r="L897" i="1"/>
  <c r="H897" i="1"/>
  <c r="U897" i="1" s="1"/>
  <c r="C897" i="1"/>
  <c r="C898" i="1" s="1"/>
  <c r="C899" i="1" s="1"/>
  <c r="C900" i="1" s="1"/>
  <c r="C901" i="1" s="1"/>
  <c r="C902" i="1" s="1"/>
  <c r="C903" i="1" s="1"/>
  <c r="C904" i="1" s="1"/>
  <c r="C905" i="1" s="1"/>
  <c r="C906" i="1" s="1"/>
  <c r="C907" i="1" s="1"/>
  <c r="C908" i="1" s="1"/>
  <c r="C909" i="1" s="1"/>
  <c r="C910" i="1" s="1"/>
  <c r="C911" i="1" s="1"/>
  <c r="C912" i="1" s="1"/>
  <c r="C913" i="1" s="1"/>
  <c r="C914" i="1" s="1"/>
  <c r="C915" i="1" s="1"/>
  <c r="C916" i="1" s="1"/>
  <c r="C917" i="1" s="1"/>
  <c r="W896" i="1"/>
  <c r="R896" i="1"/>
  <c r="P896" i="1"/>
  <c r="N896" i="1"/>
  <c r="L896" i="1"/>
  <c r="H896" i="1"/>
  <c r="U896" i="1" s="1"/>
  <c r="W895" i="1"/>
  <c r="R895" i="1"/>
  <c r="P895" i="1"/>
  <c r="N895" i="1"/>
  <c r="T895" i="1" s="1"/>
  <c r="L895" i="1"/>
  <c r="H895" i="1"/>
  <c r="W894" i="1"/>
  <c r="R894" i="1"/>
  <c r="P894" i="1"/>
  <c r="N894" i="1"/>
  <c r="T894" i="1" s="1"/>
  <c r="L894" i="1"/>
  <c r="H894" i="1"/>
  <c r="W893" i="1"/>
  <c r="R893" i="1"/>
  <c r="P893" i="1"/>
  <c r="N893" i="1"/>
  <c r="T893" i="1" s="1"/>
  <c r="L893" i="1"/>
  <c r="H893" i="1"/>
  <c r="V893" i="1" s="1"/>
  <c r="W892" i="1"/>
  <c r="R892" i="1"/>
  <c r="P892" i="1"/>
  <c r="N892" i="1"/>
  <c r="T892" i="1" s="1"/>
  <c r="L892" i="1"/>
  <c r="H892" i="1"/>
  <c r="V892" i="1" s="1"/>
  <c r="W891" i="1"/>
  <c r="R891" i="1"/>
  <c r="P891" i="1"/>
  <c r="N891" i="1"/>
  <c r="T891" i="1" s="1"/>
  <c r="L891" i="1"/>
  <c r="H891" i="1"/>
  <c r="W890" i="1"/>
  <c r="R890" i="1"/>
  <c r="P890" i="1"/>
  <c r="N890" i="1"/>
  <c r="T890" i="1" s="1"/>
  <c r="L890" i="1"/>
  <c r="H890" i="1"/>
  <c r="W889" i="1"/>
  <c r="R889" i="1"/>
  <c r="P889" i="1"/>
  <c r="N889" i="1"/>
  <c r="T889" i="1" s="1"/>
  <c r="L889" i="1"/>
  <c r="H889" i="1"/>
  <c r="W888" i="1"/>
  <c r="R888" i="1"/>
  <c r="P888" i="1"/>
  <c r="N888" i="1"/>
  <c r="T888" i="1" s="1"/>
  <c r="L888" i="1"/>
  <c r="H888" i="1"/>
  <c r="V888" i="1" s="1"/>
  <c r="W887" i="1"/>
  <c r="R887" i="1"/>
  <c r="P887" i="1"/>
  <c r="N887" i="1"/>
  <c r="T887" i="1" s="1"/>
  <c r="L887" i="1"/>
  <c r="H887" i="1"/>
  <c r="U887" i="1" s="1"/>
  <c r="C887" i="1"/>
  <c r="C888" i="1" s="1"/>
  <c r="C889" i="1" s="1"/>
  <c r="C890" i="1" s="1"/>
  <c r="C891" i="1" s="1"/>
  <c r="C892" i="1" s="1"/>
  <c r="C893" i="1" s="1"/>
  <c r="C894" i="1" s="1"/>
  <c r="C895" i="1" s="1"/>
  <c r="W886" i="1"/>
  <c r="R886" i="1"/>
  <c r="P886" i="1"/>
  <c r="N886" i="1"/>
  <c r="T886" i="1" s="1"/>
  <c r="L886" i="1"/>
  <c r="H886" i="1"/>
  <c r="U886" i="1" s="1"/>
  <c r="W885" i="1"/>
  <c r="R885" i="1"/>
  <c r="P885" i="1"/>
  <c r="N885" i="1"/>
  <c r="T885" i="1" s="1"/>
  <c r="L885" i="1"/>
  <c r="H885" i="1"/>
  <c r="V885" i="1" s="1"/>
  <c r="W884" i="1"/>
  <c r="R884" i="1"/>
  <c r="P884" i="1"/>
  <c r="N884" i="1"/>
  <c r="T884" i="1" s="1"/>
  <c r="L884" i="1"/>
  <c r="H884" i="1"/>
  <c r="W883" i="1"/>
  <c r="R883" i="1"/>
  <c r="P883" i="1"/>
  <c r="N883" i="1"/>
  <c r="T883" i="1" s="1"/>
  <c r="L883" i="1"/>
  <c r="H883" i="1"/>
  <c r="W882" i="1"/>
  <c r="R882" i="1"/>
  <c r="P882" i="1"/>
  <c r="N882" i="1"/>
  <c r="T882" i="1" s="1"/>
  <c r="L882" i="1"/>
  <c r="H882" i="1"/>
  <c r="U882" i="1" s="1"/>
  <c r="W881" i="1"/>
  <c r="R881" i="1"/>
  <c r="P881" i="1"/>
  <c r="N881" i="1"/>
  <c r="T881" i="1" s="1"/>
  <c r="L881" i="1"/>
  <c r="H881" i="1"/>
  <c r="W880" i="1"/>
  <c r="R880" i="1"/>
  <c r="P880" i="1"/>
  <c r="N880" i="1"/>
  <c r="T880" i="1" s="1"/>
  <c r="L880" i="1"/>
  <c r="H880" i="1"/>
  <c r="W879" i="1"/>
  <c r="R879" i="1"/>
  <c r="P879" i="1"/>
  <c r="N879" i="1"/>
  <c r="T879" i="1" s="1"/>
  <c r="L879" i="1"/>
  <c r="H879" i="1"/>
  <c r="V879" i="1" s="1"/>
  <c r="W878" i="1"/>
  <c r="R878" i="1"/>
  <c r="P878" i="1"/>
  <c r="N878" i="1"/>
  <c r="T878" i="1" s="1"/>
  <c r="L878" i="1"/>
  <c r="H878" i="1"/>
  <c r="V878" i="1" s="1"/>
  <c r="W877" i="1"/>
  <c r="R877" i="1"/>
  <c r="P877" i="1"/>
  <c r="N877" i="1"/>
  <c r="T877" i="1" s="1"/>
  <c r="L877" i="1"/>
  <c r="H877" i="1"/>
  <c r="U877" i="1" s="1"/>
  <c r="W876" i="1"/>
  <c r="R876" i="1"/>
  <c r="P876" i="1"/>
  <c r="N876" i="1"/>
  <c r="T876" i="1" s="1"/>
  <c r="L876" i="1"/>
  <c r="H876" i="1"/>
  <c r="W875" i="1"/>
  <c r="R875" i="1"/>
  <c r="P875" i="1"/>
  <c r="N875" i="1"/>
  <c r="T875" i="1" s="1"/>
  <c r="L875" i="1"/>
  <c r="H875" i="1"/>
  <c r="V875" i="1" s="1"/>
  <c r="W874" i="1"/>
  <c r="R874" i="1"/>
  <c r="P874" i="1"/>
  <c r="N874" i="1"/>
  <c r="L874" i="1"/>
  <c r="H874" i="1"/>
  <c r="V874" i="1" s="1"/>
  <c r="W873" i="1"/>
  <c r="R873" i="1"/>
  <c r="P873" i="1"/>
  <c r="N873" i="1"/>
  <c r="T873" i="1" s="1"/>
  <c r="L873" i="1"/>
  <c r="H873" i="1"/>
  <c r="W872" i="1"/>
  <c r="R872" i="1"/>
  <c r="P872" i="1"/>
  <c r="N872" i="1"/>
  <c r="T872" i="1" s="1"/>
  <c r="L872" i="1"/>
  <c r="H872" i="1"/>
  <c r="C872" i="1"/>
  <c r="C873" i="1" s="1"/>
  <c r="C874" i="1" s="1"/>
  <c r="C875" i="1" s="1"/>
  <c r="C876" i="1" s="1"/>
  <c r="C877" i="1" s="1"/>
  <c r="C878" i="1" s="1"/>
  <c r="C879" i="1" s="1"/>
  <c r="C880" i="1" s="1"/>
  <c r="C881" i="1" s="1"/>
  <c r="C882" i="1" s="1"/>
  <c r="C883" i="1" s="1"/>
  <c r="C884" i="1" s="1"/>
  <c r="C885" i="1" s="1"/>
  <c r="W871" i="1"/>
  <c r="R871" i="1"/>
  <c r="P871" i="1"/>
  <c r="N871" i="1"/>
  <c r="L871" i="1"/>
  <c r="H871" i="1"/>
  <c r="W870" i="1"/>
  <c r="R870" i="1"/>
  <c r="P870" i="1"/>
  <c r="N870" i="1"/>
  <c r="T870" i="1" s="1"/>
  <c r="L870" i="1"/>
  <c r="H870" i="1"/>
  <c r="V870" i="1" s="1"/>
  <c r="W869" i="1"/>
  <c r="R869" i="1"/>
  <c r="P869" i="1"/>
  <c r="N869" i="1"/>
  <c r="T869" i="1" s="1"/>
  <c r="L869" i="1"/>
  <c r="H869" i="1"/>
  <c r="W868" i="1"/>
  <c r="R868" i="1"/>
  <c r="P868" i="1"/>
  <c r="N868" i="1"/>
  <c r="T868" i="1" s="1"/>
  <c r="L868" i="1"/>
  <c r="H868" i="1"/>
  <c r="V868" i="1" s="1"/>
  <c r="W867" i="1"/>
  <c r="R867" i="1"/>
  <c r="P867" i="1"/>
  <c r="N867" i="1"/>
  <c r="T867" i="1" s="1"/>
  <c r="L867" i="1"/>
  <c r="H867" i="1"/>
  <c r="U867" i="1" s="1"/>
  <c r="W866" i="1"/>
  <c r="R866" i="1"/>
  <c r="P866" i="1"/>
  <c r="N866" i="1"/>
  <c r="T866" i="1" s="1"/>
  <c r="L866" i="1"/>
  <c r="H866" i="1"/>
  <c r="W865" i="1"/>
  <c r="R865" i="1"/>
  <c r="P865" i="1"/>
  <c r="N865" i="1"/>
  <c r="L865" i="1"/>
  <c r="H865" i="1"/>
  <c r="W864" i="1"/>
  <c r="R864" i="1"/>
  <c r="P864" i="1"/>
  <c r="N864" i="1"/>
  <c r="T864" i="1" s="1"/>
  <c r="L864" i="1"/>
  <c r="H864" i="1"/>
  <c r="V864" i="1" s="1"/>
  <c r="W863" i="1"/>
  <c r="R863" i="1"/>
  <c r="P863" i="1"/>
  <c r="N863" i="1"/>
  <c r="T863" i="1" s="1"/>
  <c r="L863" i="1"/>
  <c r="H863" i="1"/>
  <c r="V863" i="1" s="1"/>
  <c r="W862" i="1"/>
  <c r="R862" i="1"/>
  <c r="P862" i="1"/>
  <c r="N862" i="1"/>
  <c r="T862" i="1" s="1"/>
  <c r="L862" i="1"/>
  <c r="H862" i="1"/>
  <c r="W861" i="1"/>
  <c r="R861" i="1"/>
  <c r="P861" i="1"/>
  <c r="N861" i="1"/>
  <c r="L861" i="1"/>
  <c r="H861" i="1"/>
  <c r="W860" i="1"/>
  <c r="R860" i="1"/>
  <c r="P860" i="1"/>
  <c r="N860" i="1"/>
  <c r="L860" i="1"/>
  <c r="H860" i="1"/>
  <c r="W859" i="1"/>
  <c r="R859" i="1"/>
  <c r="P859" i="1"/>
  <c r="N859" i="1"/>
  <c r="T859" i="1" s="1"/>
  <c r="L859" i="1"/>
  <c r="H859" i="1"/>
  <c r="W858" i="1"/>
  <c r="R858" i="1"/>
  <c r="P858" i="1"/>
  <c r="N858" i="1"/>
  <c r="T858" i="1" s="1"/>
  <c r="L858" i="1"/>
  <c r="H858" i="1"/>
  <c r="W857" i="1"/>
  <c r="R857" i="1"/>
  <c r="P857" i="1"/>
  <c r="N857" i="1"/>
  <c r="T857" i="1" s="1"/>
  <c r="L857" i="1"/>
  <c r="H857" i="1"/>
  <c r="V857" i="1" s="1"/>
  <c r="W856" i="1"/>
  <c r="R856" i="1"/>
  <c r="P856" i="1"/>
  <c r="N856" i="1"/>
  <c r="T856" i="1" s="1"/>
  <c r="L856" i="1"/>
  <c r="H856" i="1"/>
  <c r="V856" i="1" s="1"/>
  <c r="W855" i="1"/>
  <c r="R855" i="1"/>
  <c r="P855" i="1"/>
  <c r="N855" i="1"/>
  <c r="T855" i="1" s="1"/>
  <c r="L855" i="1"/>
  <c r="H855" i="1"/>
  <c r="V855" i="1" s="1"/>
  <c r="W854" i="1"/>
  <c r="R854" i="1"/>
  <c r="P854" i="1"/>
  <c r="N854" i="1"/>
  <c r="L854" i="1"/>
  <c r="H854" i="1"/>
  <c r="V854" i="1" s="1"/>
  <c r="W853" i="1"/>
  <c r="R853" i="1"/>
  <c r="P853" i="1"/>
  <c r="N853" i="1"/>
  <c r="L853" i="1"/>
  <c r="H853" i="1"/>
  <c r="V853" i="1" s="1"/>
  <c r="W852" i="1"/>
  <c r="R852" i="1"/>
  <c r="P852" i="1"/>
  <c r="N852" i="1"/>
  <c r="T852" i="1" s="1"/>
  <c r="L852" i="1"/>
  <c r="H852" i="1"/>
  <c r="W851" i="1"/>
  <c r="R851" i="1"/>
  <c r="P851" i="1"/>
  <c r="N851" i="1"/>
  <c r="T851" i="1" s="1"/>
  <c r="L851" i="1"/>
  <c r="H851" i="1"/>
  <c r="C851" i="1"/>
  <c r="C852" i="1" s="1"/>
  <c r="C853" i="1" s="1"/>
  <c r="C854" i="1" s="1"/>
  <c r="C855" i="1" s="1"/>
  <c r="C856" i="1" s="1"/>
  <c r="C857" i="1" s="1"/>
  <c r="C858" i="1" s="1"/>
  <c r="C859" i="1" s="1"/>
  <c r="C860" i="1" s="1"/>
  <c r="C861" i="1" s="1"/>
  <c r="C862" i="1" s="1"/>
  <c r="C863" i="1" s="1"/>
  <c r="C864" i="1" s="1"/>
  <c r="C865" i="1" s="1"/>
  <c r="C866" i="1" s="1"/>
  <c r="C867" i="1" s="1"/>
  <c r="C868" i="1" s="1"/>
  <c r="C869" i="1" s="1"/>
  <c r="C870" i="1" s="1"/>
  <c r="W850" i="1"/>
  <c r="R850" i="1"/>
  <c r="P850" i="1"/>
  <c r="N850" i="1"/>
  <c r="T850" i="1" s="1"/>
  <c r="L850" i="1"/>
  <c r="H850" i="1"/>
  <c r="W849" i="1"/>
  <c r="R849" i="1"/>
  <c r="P849" i="1"/>
  <c r="N849" i="1"/>
  <c r="L849" i="1"/>
  <c r="H849" i="1"/>
  <c r="W848" i="1"/>
  <c r="R848" i="1"/>
  <c r="P848" i="1"/>
  <c r="N848" i="1"/>
  <c r="T848" i="1" s="1"/>
  <c r="L848" i="1"/>
  <c r="H848" i="1"/>
  <c r="U848" i="1" s="1"/>
  <c r="W847" i="1"/>
  <c r="R847" i="1"/>
  <c r="P847" i="1"/>
  <c r="N847" i="1"/>
  <c r="T847" i="1" s="1"/>
  <c r="L847" i="1"/>
  <c r="H847" i="1"/>
  <c r="U847" i="1" s="1"/>
  <c r="W846" i="1"/>
  <c r="R846" i="1"/>
  <c r="P846" i="1"/>
  <c r="N846" i="1"/>
  <c r="T846" i="1" s="1"/>
  <c r="L846" i="1"/>
  <c r="H846" i="1"/>
  <c r="V846" i="1" s="1"/>
  <c r="W845" i="1"/>
  <c r="R845" i="1"/>
  <c r="P845" i="1"/>
  <c r="N845" i="1"/>
  <c r="L845" i="1"/>
  <c r="H845" i="1"/>
  <c r="V845" i="1" s="1"/>
  <c r="W844" i="1"/>
  <c r="R844" i="1"/>
  <c r="P844" i="1"/>
  <c r="N844" i="1"/>
  <c r="T844" i="1" s="1"/>
  <c r="L844" i="1"/>
  <c r="H844" i="1"/>
  <c r="V844" i="1" s="1"/>
  <c r="W843" i="1"/>
  <c r="R843" i="1"/>
  <c r="P843" i="1"/>
  <c r="N843" i="1"/>
  <c r="T843" i="1" s="1"/>
  <c r="L843" i="1"/>
  <c r="H843" i="1"/>
  <c r="W842" i="1"/>
  <c r="R842" i="1"/>
  <c r="P842" i="1"/>
  <c r="N842" i="1"/>
  <c r="T842" i="1" s="1"/>
  <c r="L842" i="1"/>
  <c r="H842" i="1"/>
  <c r="U842" i="1" s="1"/>
  <c r="W841" i="1"/>
  <c r="R841" i="1"/>
  <c r="P841" i="1"/>
  <c r="N841" i="1"/>
  <c r="T841" i="1" s="1"/>
  <c r="L841" i="1"/>
  <c r="H841" i="1"/>
  <c r="W840" i="1"/>
  <c r="R840" i="1"/>
  <c r="P840" i="1"/>
  <c r="N840" i="1"/>
  <c r="T840" i="1" s="1"/>
  <c r="L840" i="1"/>
  <c r="H840" i="1"/>
  <c r="W839" i="1"/>
  <c r="R839" i="1"/>
  <c r="P839" i="1"/>
  <c r="N839" i="1"/>
  <c r="T839" i="1" s="1"/>
  <c r="L839" i="1"/>
  <c r="H839" i="1"/>
  <c r="U839" i="1" s="1"/>
  <c r="W838" i="1"/>
  <c r="R838" i="1"/>
  <c r="P838" i="1"/>
  <c r="N838" i="1"/>
  <c r="T838" i="1" s="1"/>
  <c r="L838" i="1"/>
  <c r="H838" i="1"/>
  <c r="V838" i="1" s="1"/>
  <c r="W837" i="1"/>
  <c r="R837" i="1"/>
  <c r="P837" i="1"/>
  <c r="N837" i="1"/>
  <c r="T837" i="1" s="1"/>
  <c r="L837" i="1"/>
  <c r="H837" i="1"/>
  <c r="W836" i="1"/>
  <c r="R836" i="1"/>
  <c r="P836" i="1"/>
  <c r="N836" i="1"/>
  <c r="T836" i="1" s="1"/>
  <c r="L836" i="1"/>
  <c r="H836" i="1"/>
  <c r="U836" i="1" s="1"/>
  <c r="W835" i="1"/>
  <c r="R835" i="1"/>
  <c r="P835" i="1"/>
  <c r="N835" i="1"/>
  <c r="T835" i="1" s="1"/>
  <c r="L835" i="1"/>
  <c r="H835" i="1"/>
  <c r="V835" i="1" s="1"/>
  <c r="W834" i="1"/>
  <c r="R834" i="1"/>
  <c r="P834" i="1"/>
  <c r="N834" i="1"/>
  <c r="T834" i="1" s="1"/>
  <c r="L834" i="1"/>
  <c r="H834" i="1"/>
  <c r="W833" i="1"/>
  <c r="R833" i="1"/>
  <c r="P833" i="1"/>
  <c r="N833" i="1"/>
  <c r="T833" i="1" s="1"/>
  <c r="L833" i="1"/>
  <c r="H833" i="1"/>
  <c r="U833" i="1" s="1"/>
  <c r="W832" i="1"/>
  <c r="R832" i="1"/>
  <c r="P832" i="1"/>
  <c r="N832" i="1"/>
  <c r="T832" i="1" s="1"/>
  <c r="L832" i="1"/>
  <c r="H832" i="1"/>
  <c r="V832" i="1" s="1"/>
  <c r="C832" i="1"/>
  <c r="C833" i="1" s="1"/>
  <c r="C834" i="1" s="1"/>
  <c r="C835" i="1" s="1"/>
  <c r="C836" i="1" s="1"/>
  <c r="C837" i="1" s="1"/>
  <c r="C838" i="1" s="1"/>
  <c r="C839" i="1" s="1"/>
  <c r="C840" i="1" s="1"/>
  <c r="C841" i="1" s="1"/>
  <c r="C842" i="1" s="1"/>
  <c r="C843" i="1" s="1"/>
  <c r="C844" i="1" s="1"/>
  <c r="C845" i="1" s="1"/>
  <c r="C846" i="1" s="1"/>
  <c r="C847" i="1" s="1"/>
  <c r="C848" i="1" s="1"/>
  <c r="C849" i="1" s="1"/>
  <c r="W831" i="1"/>
  <c r="R831" i="1"/>
  <c r="P831" i="1"/>
  <c r="N831" i="1"/>
  <c r="T831" i="1" s="1"/>
  <c r="L831" i="1"/>
  <c r="H831" i="1"/>
  <c r="W830" i="1"/>
  <c r="R830" i="1"/>
  <c r="P830" i="1"/>
  <c r="N830" i="1"/>
  <c r="T830" i="1" s="1"/>
  <c r="L830" i="1"/>
  <c r="H830" i="1"/>
  <c r="W829" i="1"/>
  <c r="R829" i="1"/>
  <c r="P829" i="1"/>
  <c r="N829" i="1"/>
  <c r="T829" i="1" s="1"/>
  <c r="L829" i="1"/>
  <c r="H829" i="1"/>
  <c r="U829" i="1" s="1"/>
  <c r="W828" i="1"/>
  <c r="R828" i="1"/>
  <c r="P828" i="1"/>
  <c r="N828" i="1"/>
  <c r="T828" i="1" s="1"/>
  <c r="L828" i="1"/>
  <c r="H828" i="1"/>
  <c r="W827" i="1"/>
  <c r="R827" i="1"/>
  <c r="P827" i="1"/>
  <c r="N827" i="1"/>
  <c r="T827" i="1" s="1"/>
  <c r="L827" i="1"/>
  <c r="H827" i="1"/>
  <c r="V827" i="1" s="1"/>
  <c r="W826" i="1"/>
  <c r="R826" i="1"/>
  <c r="P826" i="1"/>
  <c r="N826" i="1"/>
  <c r="T826" i="1" s="1"/>
  <c r="L826" i="1"/>
  <c r="H826" i="1"/>
  <c r="W825" i="1"/>
  <c r="R825" i="1"/>
  <c r="P825" i="1"/>
  <c r="N825" i="1"/>
  <c r="T825" i="1" s="1"/>
  <c r="L825" i="1"/>
  <c r="H825" i="1"/>
  <c r="U825" i="1" s="1"/>
  <c r="W824" i="1"/>
  <c r="R824" i="1"/>
  <c r="P824" i="1"/>
  <c r="N824" i="1"/>
  <c r="T824" i="1" s="1"/>
  <c r="L824" i="1"/>
  <c r="H824" i="1"/>
  <c r="V824" i="1" s="1"/>
  <c r="W823" i="1"/>
  <c r="R823" i="1"/>
  <c r="P823" i="1"/>
  <c r="N823" i="1"/>
  <c r="T823" i="1" s="1"/>
  <c r="L823" i="1"/>
  <c r="H823" i="1"/>
  <c r="U823" i="1" s="1"/>
  <c r="C823" i="1"/>
  <c r="C824" i="1" s="1"/>
  <c r="C825" i="1" s="1"/>
  <c r="C826" i="1" s="1"/>
  <c r="C827" i="1" s="1"/>
  <c r="C828" i="1" s="1"/>
  <c r="C829" i="1" s="1"/>
  <c r="C830" i="1" s="1"/>
  <c r="W822" i="1"/>
  <c r="R822" i="1"/>
  <c r="P822" i="1"/>
  <c r="N822" i="1"/>
  <c r="T822" i="1" s="1"/>
  <c r="L822" i="1"/>
  <c r="H822" i="1"/>
  <c r="V822" i="1" s="1"/>
  <c r="W821" i="1"/>
  <c r="R821" i="1"/>
  <c r="P821" i="1"/>
  <c r="N821" i="1"/>
  <c r="T821" i="1" s="1"/>
  <c r="L821" i="1"/>
  <c r="H821" i="1"/>
  <c r="V821" i="1" s="1"/>
  <c r="W820" i="1"/>
  <c r="R820" i="1"/>
  <c r="P820" i="1"/>
  <c r="N820" i="1"/>
  <c r="T820" i="1" s="1"/>
  <c r="L820" i="1"/>
  <c r="H820" i="1"/>
  <c r="U820" i="1" s="1"/>
  <c r="W819" i="1"/>
  <c r="R819" i="1"/>
  <c r="P819" i="1"/>
  <c r="N819" i="1"/>
  <c r="L819" i="1"/>
  <c r="H819" i="1"/>
  <c r="W818" i="1"/>
  <c r="R818" i="1"/>
  <c r="P818" i="1"/>
  <c r="N818" i="1"/>
  <c r="T818" i="1" s="1"/>
  <c r="L818" i="1"/>
  <c r="H818" i="1"/>
  <c r="C818" i="1"/>
  <c r="C819" i="1" s="1"/>
  <c r="C820" i="1" s="1"/>
  <c r="C821" i="1" s="1"/>
  <c r="W817" i="1"/>
  <c r="R817" i="1"/>
  <c r="P817" i="1"/>
  <c r="N817" i="1"/>
  <c r="L817" i="1"/>
  <c r="H817" i="1"/>
  <c r="V817" i="1" s="1"/>
  <c r="W816" i="1"/>
  <c r="R816" i="1"/>
  <c r="P816" i="1"/>
  <c r="N816" i="1"/>
  <c r="T816" i="1" s="1"/>
  <c r="L816" i="1"/>
  <c r="H816" i="1"/>
  <c r="W815" i="1"/>
  <c r="R815" i="1"/>
  <c r="P815" i="1"/>
  <c r="N815" i="1"/>
  <c r="T815" i="1" s="1"/>
  <c r="L815" i="1"/>
  <c r="H815" i="1"/>
  <c r="U815" i="1" s="1"/>
  <c r="W814" i="1"/>
  <c r="R814" i="1"/>
  <c r="P814" i="1"/>
  <c r="N814" i="1"/>
  <c r="T814" i="1" s="1"/>
  <c r="L814" i="1"/>
  <c r="H814" i="1"/>
  <c r="U814" i="1" s="1"/>
  <c r="W813" i="1"/>
  <c r="R813" i="1"/>
  <c r="P813" i="1"/>
  <c r="N813" i="1"/>
  <c r="T813" i="1" s="1"/>
  <c r="L813" i="1"/>
  <c r="H813" i="1"/>
  <c r="W812" i="1"/>
  <c r="R812" i="1"/>
  <c r="P812" i="1"/>
  <c r="N812" i="1"/>
  <c r="T812" i="1" s="1"/>
  <c r="L812" i="1"/>
  <c r="H812" i="1"/>
  <c r="C812" i="1"/>
  <c r="C813" i="1" s="1"/>
  <c r="C814" i="1" s="1"/>
  <c r="C815" i="1" s="1"/>
  <c r="C816" i="1" s="1"/>
  <c r="W811" i="1"/>
  <c r="R811" i="1"/>
  <c r="P811" i="1"/>
  <c r="N811" i="1"/>
  <c r="L811" i="1"/>
  <c r="H811" i="1"/>
  <c r="V811" i="1" s="1"/>
  <c r="W810" i="1"/>
  <c r="R810" i="1"/>
  <c r="P810" i="1"/>
  <c r="N810" i="1"/>
  <c r="L810" i="1"/>
  <c r="H810" i="1"/>
  <c r="U810" i="1" s="1"/>
  <c r="W809" i="1"/>
  <c r="R809" i="1"/>
  <c r="P809" i="1"/>
  <c r="N809" i="1"/>
  <c r="L809" i="1"/>
  <c r="H809" i="1"/>
  <c r="W808" i="1"/>
  <c r="R808" i="1"/>
  <c r="P808" i="1"/>
  <c r="N808" i="1"/>
  <c r="L808" i="1"/>
  <c r="H808" i="1"/>
  <c r="U808" i="1" s="1"/>
  <c r="W807" i="1"/>
  <c r="R807" i="1"/>
  <c r="P807" i="1"/>
  <c r="N807" i="1"/>
  <c r="L807" i="1"/>
  <c r="H807" i="1"/>
  <c r="V807" i="1" s="1"/>
  <c r="W806" i="1"/>
  <c r="R806" i="1"/>
  <c r="P806" i="1"/>
  <c r="N806" i="1"/>
  <c r="L806" i="1"/>
  <c r="H806" i="1"/>
  <c r="V806" i="1" s="1"/>
  <c r="W805" i="1"/>
  <c r="R805" i="1"/>
  <c r="P805" i="1"/>
  <c r="N805" i="1"/>
  <c r="T805" i="1" s="1"/>
  <c r="L805" i="1"/>
  <c r="H805" i="1"/>
  <c r="W804" i="1"/>
  <c r="R804" i="1"/>
  <c r="P804" i="1"/>
  <c r="N804" i="1"/>
  <c r="L804" i="1"/>
  <c r="H804" i="1"/>
  <c r="U804" i="1" s="1"/>
  <c r="W803" i="1"/>
  <c r="R803" i="1"/>
  <c r="P803" i="1"/>
  <c r="N803" i="1"/>
  <c r="T803" i="1" s="1"/>
  <c r="L803" i="1"/>
  <c r="H803" i="1"/>
  <c r="W802" i="1"/>
  <c r="R802" i="1"/>
  <c r="P802" i="1"/>
  <c r="N802" i="1"/>
  <c r="L802" i="1"/>
  <c r="H802" i="1"/>
  <c r="U802" i="1" s="1"/>
  <c r="W801" i="1"/>
  <c r="R801" i="1"/>
  <c r="P801" i="1"/>
  <c r="N801" i="1"/>
  <c r="T801" i="1" s="1"/>
  <c r="L801" i="1"/>
  <c r="H801" i="1"/>
  <c r="V801" i="1" s="1"/>
  <c r="W800" i="1"/>
  <c r="R800" i="1"/>
  <c r="P800" i="1"/>
  <c r="N800" i="1"/>
  <c r="L800" i="1"/>
  <c r="H800" i="1"/>
  <c r="V800" i="1" s="1"/>
  <c r="W799" i="1"/>
  <c r="R799" i="1"/>
  <c r="P799" i="1"/>
  <c r="N799" i="1"/>
  <c r="L799" i="1"/>
  <c r="H799" i="1"/>
  <c r="U799" i="1" s="1"/>
  <c r="C799" i="1"/>
  <c r="C800" i="1" s="1"/>
  <c r="C801" i="1" s="1"/>
  <c r="C802" i="1" s="1"/>
  <c r="C803" i="1" s="1"/>
  <c r="C804" i="1" s="1"/>
  <c r="C805" i="1" s="1"/>
  <c r="C806" i="1" s="1"/>
  <c r="C807" i="1" s="1"/>
  <c r="C808" i="1" s="1"/>
  <c r="C809" i="1" s="1"/>
  <c r="C810" i="1" s="1"/>
  <c r="W798" i="1"/>
  <c r="R798" i="1"/>
  <c r="P798" i="1"/>
  <c r="N798" i="1"/>
  <c r="L798" i="1"/>
  <c r="H798" i="1"/>
  <c r="U798" i="1" s="1"/>
  <c r="W797" i="1"/>
  <c r="R797" i="1"/>
  <c r="P797" i="1"/>
  <c r="N797" i="1"/>
  <c r="T797" i="1" s="1"/>
  <c r="L797" i="1"/>
  <c r="H797" i="1"/>
  <c r="U797" i="1" s="1"/>
  <c r="W796" i="1"/>
  <c r="R796" i="1"/>
  <c r="P796" i="1"/>
  <c r="N796" i="1"/>
  <c r="T796" i="1" s="1"/>
  <c r="L796" i="1"/>
  <c r="H796" i="1"/>
  <c r="W795" i="1"/>
  <c r="R795" i="1"/>
  <c r="P795" i="1"/>
  <c r="N795" i="1"/>
  <c r="T795" i="1" s="1"/>
  <c r="L795" i="1"/>
  <c r="H795" i="1"/>
  <c r="W794" i="1"/>
  <c r="R794" i="1"/>
  <c r="P794" i="1"/>
  <c r="N794" i="1"/>
  <c r="T794" i="1" s="1"/>
  <c r="L794" i="1"/>
  <c r="H794" i="1"/>
  <c r="W793" i="1"/>
  <c r="R793" i="1"/>
  <c r="P793" i="1"/>
  <c r="N793" i="1"/>
  <c r="T793" i="1" s="1"/>
  <c r="L793" i="1"/>
  <c r="H793" i="1"/>
  <c r="U793" i="1" s="1"/>
  <c r="W792" i="1"/>
  <c r="R792" i="1"/>
  <c r="P792" i="1"/>
  <c r="N792" i="1"/>
  <c r="T792" i="1" s="1"/>
  <c r="L792" i="1"/>
  <c r="H792" i="1"/>
  <c r="V792" i="1" s="1"/>
  <c r="W791" i="1"/>
  <c r="R791" i="1"/>
  <c r="P791" i="1"/>
  <c r="N791" i="1"/>
  <c r="T791" i="1" s="1"/>
  <c r="L791" i="1"/>
  <c r="H791" i="1"/>
  <c r="U791" i="1" s="1"/>
  <c r="C791" i="1"/>
  <c r="C792" i="1" s="1"/>
  <c r="C793" i="1" s="1"/>
  <c r="C794" i="1" s="1"/>
  <c r="C795" i="1" s="1"/>
  <c r="C796" i="1" s="1"/>
  <c r="C797" i="1" s="1"/>
  <c r="W790" i="1"/>
  <c r="R790" i="1"/>
  <c r="P790" i="1"/>
  <c r="N790" i="1"/>
  <c r="T790" i="1" s="1"/>
  <c r="L790" i="1"/>
  <c r="H790" i="1"/>
  <c r="W789" i="1"/>
  <c r="R789" i="1"/>
  <c r="P789" i="1"/>
  <c r="N789" i="1"/>
  <c r="L789" i="1"/>
  <c r="H789" i="1"/>
  <c r="U789" i="1" s="1"/>
  <c r="C789" i="1"/>
  <c r="C790" i="1" s="1"/>
  <c r="W788" i="1"/>
  <c r="R788" i="1"/>
  <c r="P788" i="1"/>
  <c r="N788" i="1"/>
  <c r="T788" i="1" s="1"/>
  <c r="L788" i="1"/>
  <c r="H788" i="1"/>
  <c r="W787" i="1"/>
  <c r="R787" i="1"/>
  <c r="P787" i="1"/>
  <c r="N787" i="1"/>
  <c r="L787" i="1"/>
  <c r="H787" i="1"/>
  <c r="V787" i="1" s="1"/>
  <c r="W786" i="1"/>
  <c r="R786" i="1"/>
  <c r="P786" i="1"/>
  <c r="N786" i="1"/>
  <c r="T786" i="1" s="1"/>
  <c r="L786" i="1"/>
  <c r="H786" i="1"/>
  <c r="U786" i="1" s="1"/>
  <c r="W785" i="1"/>
  <c r="R785" i="1"/>
  <c r="P785" i="1"/>
  <c r="N785" i="1"/>
  <c r="T785" i="1" s="1"/>
  <c r="L785" i="1"/>
  <c r="H785" i="1"/>
  <c r="W784" i="1"/>
  <c r="R784" i="1"/>
  <c r="P784" i="1"/>
  <c r="N784" i="1"/>
  <c r="T784" i="1" s="1"/>
  <c r="L784" i="1"/>
  <c r="H784" i="1"/>
  <c r="V784" i="1" s="1"/>
  <c r="W783" i="1"/>
  <c r="R783" i="1"/>
  <c r="P783" i="1"/>
  <c r="N783" i="1"/>
  <c r="T783" i="1" s="1"/>
  <c r="L783" i="1"/>
  <c r="H783" i="1"/>
  <c r="W782" i="1"/>
  <c r="R782" i="1"/>
  <c r="P782" i="1"/>
  <c r="N782" i="1"/>
  <c r="T782" i="1" s="1"/>
  <c r="L782" i="1"/>
  <c r="H782" i="1"/>
  <c r="V782" i="1" s="1"/>
  <c r="W781" i="1"/>
  <c r="R781" i="1"/>
  <c r="P781" i="1"/>
  <c r="N781" i="1"/>
  <c r="T781" i="1" s="1"/>
  <c r="L781" i="1"/>
  <c r="H781" i="1"/>
  <c r="V781" i="1" s="1"/>
  <c r="W780" i="1"/>
  <c r="R780" i="1"/>
  <c r="P780" i="1"/>
  <c r="N780" i="1"/>
  <c r="T780" i="1" s="1"/>
  <c r="L780" i="1"/>
  <c r="H780" i="1"/>
  <c r="W779" i="1"/>
  <c r="T779" i="1"/>
  <c r="R779" i="1"/>
  <c r="P779" i="1"/>
  <c r="N779" i="1"/>
  <c r="L779" i="1"/>
  <c r="H779" i="1"/>
  <c r="W778" i="1"/>
  <c r="R778" i="1"/>
  <c r="P778" i="1"/>
  <c r="N778" i="1"/>
  <c r="T778" i="1" s="1"/>
  <c r="L778" i="1"/>
  <c r="H778" i="1"/>
  <c r="W777" i="1"/>
  <c r="R777" i="1"/>
  <c r="P777" i="1"/>
  <c r="N777" i="1"/>
  <c r="T777" i="1" s="1"/>
  <c r="L777" i="1"/>
  <c r="H777" i="1"/>
  <c r="W776" i="1"/>
  <c r="R776" i="1"/>
  <c r="P776" i="1"/>
  <c r="N776" i="1"/>
  <c r="T776" i="1" s="1"/>
  <c r="L776" i="1"/>
  <c r="H776" i="1"/>
  <c r="V776" i="1" s="1"/>
  <c r="C776" i="1"/>
  <c r="C777" i="1" s="1"/>
  <c r="C778" i="1" s="1"/>
  <c r="C779" i="1" s="1"/>
  <c r="C780" i="1" s="1"/>
  <c r="C781" i="1" s="1"/>
  <c r="C782" i="1" s="1"/>
  <c r="C783" i="1" s="1"/>
  <c r="C784" i="1" s="1"/>
  <c r="C785" i="1" s="1"/>
  <c r="C786" i="1" s="1"/>
  <c r="C787" i="1" s="1"/>
  <c r="W775" i="1"/>
  <c r="R775" i="1"/>
  <c r="P775" i="1"/>
  <c r="N775" i="1"/>
  <c r="T775" i="1" s="1"/>
  <c r="L775" i="1"/>
  <c r="H775" i="1"/>
  <c r="W774" i="1"/>
  <c r="R774" i="1"/>
  <c r="P774" i="1"/>
  <c r="N774" i="1"/>
  <c r="T774" i="1" s="1"/>
  <c r="L774" i="1"/>
  <c r="H774" i="1"/>
  <c r="V774" i="1" s="1"/>
  <c r="W773" i="1"/>
  <c r="R773" i="1"/>
  <c r="P773" i="1"/>
  <c r="N773" i="1"/>
  <c r="T773" i="1" s="1"/>
  <c r="L773" i="1"/>
  <c r="H773" i="1"/>
  <c r="W772" i="1"/>
  <c r="R772" i="1"/>
  <c r="P772" i="1"/>
  <c r="N772" i="1"/>
  <c r="T772" i="1" s="1"/>
  <c r="L772" i="1"/>
  <c r="H772" i="1"/>
  <c r="U772" i="1" s="1"/>
  <c r="W771" i="1"/>
  <c r="R771" i="1"/>
  <c r="P771" i="1"/>
  <c r="N771" i="1"/>
  <c r="T771" i="1" s="1"/>
  <c r="L771" i="1"/>
  <c r="H771" i="1"/>
  <c r="U771" i="1" s="1"/>
  <c r="W770" i="1"/>
  <c r="R770" i="1"/>
  <c r="P770" i="1"/>
  <c r="N770" i="1"/>
  <c r="T770" i="1" s="1"/>
  <c r="L770" i="1"/>
  <c r="H770" i="1"/>
  <c r="W769" i="1"/>
  <c r="R769" i="1"/>
  <c r="P769" i="1"/>
  <c r="N769" i="1"/>
  <c r="L769" i="1"/>
  <c r="H769" i="1"/>
  <c r="V769" i="1" s="1"/>
  <c r="W768" i="1"/>
  <c r="R768" i="1"/>
  <c r="P768" i="1"/>
  <c r="N768" i="1"/>
  <c r="T768" i="1" s="1"/>
  <c r="L768" i="1"/>
  <c r="H768" i="1"/>
  <c r="V768" i="1" s="1"/>
  <c r="W767" i="1"/>
  <c r="R767" i="1"/>
  <c r="P767" i="1"/>
  <c r="N767" i="1"/>
  <c r="T767" i="1" s="1"/>
  <c r="L767" i="1"/>
  <c r="H767" i="1"/>
  <c r="V767" i="1" s="1"/>
  <c r="W766" i="1"/>
  <c r="R766" i="1"/>
  <c r="P766" i="1"/>
  <c r="N766" i="1"/>
  <c r="T766" i="1" s="1"/>
  <c r="L766" i="1"/>
  <c r="H766" i="1"/>
  <c r="V766" i="1" s="1"/>
  <c r="W765" i="1"/>
  <c r="R765" i="1"/>
  <c r="P765" i="1"/>
  <c r="N765" i="1"/>
  <c r="T765" i="1" s="1"/>
  <c r="L765" i="1"/>
  <c r="H765" i="1"/>
  <c r="V765" i="1" s="1"/>
  <c r="W764" i="1"/>
  <c r="R764" i="1"/>
  <c r="P764" i="1"/>
  <c r="N764" i="1"/>
  <c r="T764" i="1" s="1"/>
  <c r="L764" i="1"/>
  <c r="H764" i="1"/>
  <c r="V764" i="1" s="1"/>
  <c r="W763" i="1"/>
  <c r="R763" i="1"/>
  <c r="P763" i="1"/>
  <c r="N763" i="1"/>
  <c r="T763" i="1" s="1"/>
  <c r="L763" i="1"/>
  <c r="H763" i="1"/>
  <c r="C763" i="1"/>
  <c r="C764" i="1" s="1"/>
  <c r="C765" i="1" s="1"/>
  <c r="C766" i="1" s="1"/>
  <c r="C767" i="1" s="1"/>
  <c r="C768" i="1" s="1"/>
  <c r="C769" i="1" s="1"/>
  <c r="C770" i="1" s="1"/>
  <c r="C771" i="1" s="1"/>
  <c r="C772" i="1" s="1"/>
  <c r="C773" i="1" s="1"/>
  <c r="C774" i="1" s="1"/>
  <c r="W762" i="1"/>
  <c r="R762" i="1"/>
  <c r="P762" i="1"/>
  <c r="N762" i="1"/>
  <c r="L762" i="1"/>
  <c r="H762" i="1"/>
  <c r="V762" i="1" s="1"/>
  <c r="W761" i="1"/>
  <c r="R761" i="1"/>
  <c r="P761" i="1"/>
  <c r="N761" i="1"/>
  <c r="L761" i="1"/>
  <c r="H761" i="1"/>
  <c r="U761" i="1" s="1"/>
  <c r="W760" i="1"/>
  <c r="R760" i="1"/>
  <c r="P760" i="1"/>
  <c r="N760" i="1"/>
  <c r="T760" i="1" s="1"/>
  <c r="L760" i="1"/>
  <c r="H760" i="1"/>
  <c r="V760" i="1" s="1"/>
  <c r="W759" i="1"/>
  <c r="R759" i="1"/>
  <c r="P759" i="1"/>
  <c r="N759" i="1"/>
  <c r="T759" i="1" s="1"/>
  <c r="L759" i="1"/>
  <c r="H759" i="1"/>
  <c r="W758" i="1"/>
  <c r="R758" i="1"/>
  <c r="P758" i="1"/>
  <c r="N758" i="1"/>
  <c r="T758" i="1" s="1"/>
  <c r="L758" i="1"/>
  <c r="H758" i="1"/>
  <c r="V758" i="1" s="1"/>
  <c r="W757" i="1"/>
  <c r="R757" i="1"/>
  <c r="P757" i="1"/>
  <c r="N757" i="1"/>
  <c r="L757" i="1"/>
  <c r="H757" i="1"/>
  <c r="U757" i="1" s="1"/>
  <c r="W756" i="1"/>
  <c r="R756" i="1"/>
  <c r="P756" i="1"/>
  <c r="N756" i="1"/>
  <c r="L756" i="1"/>
  <c r="H756" i="1"/>
  <c r="W755" i="1"/>
  <c r="R755" i="1"/>
  <c r="P755" i="1"/>
  <c r="N755" i="1"/>
  <c r="L755" i="1"/>
  <c r="H755" i="1"/>
  <c r="V755" i="1" s="1"/>
  <c r="W754" i="1"/>
  <c r="R754" i="1"/>
  <c r="P754" i="1"/>
  <c r="N754" i="1"/>
  <c r="L754" i="1"/>
  <c r="H754" i="1"/>
  <c r="V754" i="1" s="1"/>
  <c r="W753" i="1"/>
  <c r="R753" i="1"/>
  <c r="P753" i="1"/>
  <c r="N753" i="1"/>
  <c r="L753" i="1"/>
  <c r="H753" i="1"/>
  <c r="V753" i="1" s="1"/>
  <c r="C753" i="1"/>
  <c r="C754" i="1" s="1"/>
  <c r="C755" i="1" s="1"/>
  <c r="C756" i="1" s="1"/>
  <c r="C757" i="1" s="1"/>
  <c r="C758" i="1" s="1"/>
  <c r="C759" i="1" s="1"/>
  <c r="C760" i="1" s="1"/>
  <c r="C761" i="1" s="1"/>
  <c r="W752" i="1"/>
  <c r="R752" i="1"/>
  <c r="P752" i="1"/>
  <c r="N752" i="1"/>
  <c r="L752" i="1"/>
  <c r="H752" i="1"/>
  <c r="U752" i="1" s="1"/>
  <c r="W751" i="1"/>
  <c r="R751" i="1"/>
  <c r="P751" i="1"/>
  <c r="N751" i="1"/>
  <c r="T751" i="1" s="1"/>
  <c r="L751" i="1"/>
  <c r="H751" i="1"/>
  <c r="V751" i="1" s="1"/>
  <c r="W750" i="1"/>
  <c r="R750" i="1"/>
  <c r="P750" i="1"/>
  <c r="N750" i="1"/>
  <c r="L750" i="1"/>
  <c r="H750" i="1"/>
  <c r="U750" i="1" s="1"/>
  <c r="W749" i="1"/>
  <c r="R749" i="1"/>
  <c r="P749" i="1"/>
  <c r="N749" i="1"/>
  <c r="T749" i="1" s="1"/>
  <c r="L749" i="1"/>
  <c r="H749" i="1"/>
  <c r="W748" i="1"/>
  <c r="R748" i="1"/>
  <c r="P748" i="1"/>
  <c r="N748" i="1"/>
  <c r="L748" i="1"/>
  <c r="H748" i="1"/>
  <c r="U748" i="1" s="1"/>
  <c r="W747" i="1"/>
  <c r="R747" i="1"/>
  <c r="P747" i="1"/>
  <c r="N747" i="1"/>
  <c r="T747" i="1" s="1"/>
  <c r="L747" i="1"/>
  <c r="H747" i="1"/>
  <c r="V747" i="1" s="1"/>
  <c r="W746" i="1"/>
  <c r="T746" i="1"/>
  <c r="R746" i="1"/>
  <c r="P746" i="1"/>
  <c r="N746" i="1"/>
  <c r="L746" i="1"/>
  <c r="H746" i="1"/>
  <c r="W745" i="1"/>
  <c r="R745" i="1"/>
  <c r="P745" i="1"/>
  <c r="N745" i="1"/>
  <c r="T745" i="1" s="1"/>
  <c r="L745" i="1"/>
  <c r="H745" i="1"/>
  <c r="V745" i="1" s="1"/>
  <c r="W744" i="1"/>
  <c r="R744" i="1"/>
  <c r="P744" i="1"/>
  <c r="N744" i="1"/>
  <c r="T744" i="1" s="1"/>
  <c r="L744" i="1"/>
  <c r="H744" i="1"/>
  <c r="W743" i="1"/>
  <c r="R743" i="1"/>
  <c r="P743" i="1"/>
  <c r="N743" i="1"/>
  <c r="T743" i="1" s="1"/>
  <c r="L743" i="1"/>
  <c r="H743" i="1"/>
  <c r="V743" i="1" s="1"/>
  <c r="W742" i="1"/>
  <c r="R742" i="1"/>
  <c r="P742" i="1"/>
  <c r="N742" i="1"/>
  <c r="T742" i="1" s="1"/>
  <c r="L742" i="1"/>
  <c r="H742" i="1"/>
  <c r="W741" i="1"/>
  <c r="R741" i="1"/>
  <c r="P741" i="1"/>
  <c r="N741" i="1"/>
  <c r="T741" i="1" s="1"/>
  <c r="L741" i="1"/>
  <c r="H741" i="1"/>
  <c r="V741" i="1" s="1"/>
  <c r="W740" i="1"/>
  <c r="R740" i="1"/>
  <c r="P740" i="1"/>
  <c r="N740" i="1"/>
  <c r="T740" i="1" s="1"/>
  <c r="L740" i="1"/>
  <c r="H740" i="1"/>
  <c r="W739" i="1"/>
  <c r="R739" i="1"/>
  <c r="P739" i="1"/>
  <c r="N739" i="1"/>
  <c r="T739" i="1" s="1"/>
  <c r="L739" i="1"/>
  <c r="H739" i="1"/>
  <c r="V739" i="1" s="1"/>
  <c r="C739" i="1"/>
  <c r="C740" i="1" s="1"/>
  <c r="C741" i="1" s="1"/>
  <c r="C742" i="1" s="1"/>
  <c r="C743" i="1" s="1"/>
  <c r="C744" i="1" s="1"/>
  <c r="C745" i="1" s="1"/>
  <c r="C746" i="1" s="1"/>
  <c r="C747" i="1" s="1"/>
  <c r="C748" i="1" s="1"/>
  <c r="C749" i="1" s="1"/>
  <c r="C750" i="1" s="1"/>
  <c r="C751" i="1" s="1"/>
  <c r="W738" i="1"/>
  <c r="V738" i="1"/>
  <c r="R738" i="1"/>
  <c r="P738" i="1"/>
  <c r="N738" i="1"/>
  <c r="T738" i="1" s="1"/>
  <c r="L738" i="1"/>
  <c r="H738" i="1"/>
  <c r="U738" i="1" s="1"/>
  <c r="W737" i="1"/>
  <c r="R737" i="1"/>
  <c r="P737" i="1"/>
  <c r="N737" i="1"/>
  <c r="L737" i="1"/>
  <c r="H737" i="1"/>
  <c r="V737" i="1" s="1"/>
  <c r="W736" i="1"/>
  <c r="R736" i="1"/>
  <c r="P736" i="1"/>
  <c r="N736" i="1"/>
  <c r="L736" i="1"/>
  <c r="H736" i="1"/>
  <c r="V736" i="1" s="1"/>
  <c r="W735" i="1"/>
  <c r="R735" i="1"/>
  <c r="P735" i="1"/>
  <c r="N735" i="1"/>
  <c r="L735" i="1"/>
  <c r="H735" i="1"/>
  <c r="V735" i="1" s="1"/>
  <c r="W734" i="1"/>
  <c r="R734" i="1"/>
  <c r="P734" i="1"/>
  <c r="N734" i="1"/>
  <c r="L734" i="1"/>
  <c r="H734" i="1"/>
  <c r="W733" i="1"/>
  <c r="R733" i="1"/>
  <c r="P733" i="1"/>
  <c r="N733" i="1"/>
  <c r="L733" i="1"/>
  <c r="H733" i="1"/>
  <c r="W732" i="1"/>
  <c r="R732" i="1"/>
  <c r="P732" i="1"/>
  <c r="N732" i="1"/>
  <c r="T732" i="1" s="1"/>
  <c r="L732" i="1"/>
  <c r="H732" i="1"/>
  <c r="W731" i="1"/>
  <c r="R731" i="1"/>
  <c r="P731" i="1"/>
  <c r="N731" i="1"/>
  <c r="T731" i="1" s="1"/>
  <c r="L731" i="1"/>
  <c r="H731" i="1"/>
  <c r="W730" i="1"/>
  <c r="R730" i="1"/>
  <c r="P730" i="1"/>
  <c r="N730" i="1"/>
  <c r="L730" i="1"/>
  <c r="H730" i="1"/>
  <c r="V730" i="1" s="1"/>
  <c r="W729" i="1"/>
  <c r="R729" i="1"/>
  <c r="P729" i="1"/>
  <c r="N729" i="1"/>
  <c r="L729" i="1"/>
  <c r="H729" i="1"/>
  <c r="U729" i="1" s="1"/>
  <c r="W728" i="1"/>
  <c r="R728" i="1"/>
  <c r="P728" i="1"/>
  <c r="N728" i="1"/>
  <c r="T728" i="1" s="1"/>
  <c r="L728" i="1"/>
  <c r="H728" i="1"/>
  <c r="W727" i="1"/>
  <c r="R727" i="1"/>
  <c r="P727" i="1"/>
  <c r="N727" i="1"/>
  <c r="L727" i="1"/>
  <c r="H727" i="1"/>
  <c r="V727" i="1" s="1"/>
  <c r="W726" i="1"/>
  <c r="R726" i="1"/>
  <c r="P726" i="1"/>
  <c r="N726" i="1"/>
  <c r="T726" i="1" s="1"/>
  <c r="L726" i="1"/>
  <c r="H726" i="1"/>
  <c r="U726" i="1" s="1"/>
  <c r="W725" i="1"/>
  <c r="R725" i="1"/>
  <c r="P725" i="1"/>
  <c r="N725" i="1"/>
  <c r="L725" i="1"/>
  <c r="H725" i="1"/>
  <c r="V725" i="1" s="1"/>
  <c r="C725" i="1"/>
  <c r="C726" i="1" s="1"/>
  <c r="C727" i="1" s="1"/>
  <c r="C728" i="1" s="1"/>
  <c r="C729" i="1" s="1"/>
  <c r="C730" i="1" s="1"/>
  <c r="C731" i="1" s="1"/>
  <c r="C732" i="1" s="1"/>
  <c r="C733" i="1" s="1"/>
  <c r="C734" i="1" s="1"/>
  <c r="C735" i="1" s="1"/>
  <c r="C736" i="1" s="1"/>
  <c r="C737" i="1" s="1"/>
  <c r="W724" i="1"/>
  <c r="R724" i="1"/>
  <c r="P724" i="1"/>
  <c r="N724" i="1"/>
  <c r="T724" i="1" s="1"/>
  <c r="L724" i="1"/>
  <c r="H724" i="1"/>
  <c r="W723" i="1"/>
  <c r="R723" i="1"/>
  <c r="P723" i="1"/>
  <c r="N723" i="1"/>
  <c r="L723" i="1"/>
  <c r="H723" i="1"/>
  <c r="W722" i="1"/>
  <c r="R722" i="1"/>
  <c r="P722" i="1"/>
  <c r="N722" i="1"/>
  <c r="L722" i="1"/>
  <c r="H722" i="1"/>
  <c r="W721" i="1"/>
  <c r="R721" i="1"/>
  <c r="P721" i="1"/>
  <c r="N721" i="1"/>
  <c r="L721" i="1"/>
  <c r="H721" i="1"/>
  <c r="W720" i="1"/>
  <c r="R720" i="1"/>
  <c r="P720" i="1"/>
  <c r="N720" i="1"/>
  <c r="L720" i="1"/>
  <c r="H720" i="1"/>
  <c r="V720" i="1" s="1"/>
  <c r="W719" i="1"/>
  <c r="R719" i="1"/>
  <c r="P719" i="1"/>
  <c r="N719" i="1"/>
  <c r="T719" i="1" s="1"/>
  <c r="L719" i="1"/>
  <c r="H719" i="1"/>
  <c r="W718" i="1"/>
  <c r="R718" i="1"/>
  <c r="P718" i="1"/>
  <c r="N718" i="1"/>
  <c r="L718" i="1"/>
  <c r="H718" i="1"/>
  <c r="V718" i="1" s="1"/>
  <c r="W717" i="1"/>
  <c r="R717" i="1"/>
  <c r="P717" i="1"/>
  <c r="N717" i="1"/>
  <c r="L717" i="1"/>
  <c r="H717" i="1"/>
  <c r="W716" i="1"/>
  <c r="R716" i="1"/>
  <c r="P716" i="1"/>
  <c r="N716" i="1"/>
  <c r="L716" i="1"/>
  <c r="H716" i="1"/>
  <c r="V716" i="1" s="1"/>
  <c r="W715" i="1"/>
  <c r="U715" i="1"/>
  <c r="R715" i="1"/>
  <c r="P715" i="1"/>
  <c r="N715" i="1"/>
  <c r="L715" i="1"/>
  <c r="H715" i="1"/>
  <c r="V715" i="1" s="1"/>
  <c r="W714" i="1"/>
  <c r="R714" i="1"/>
  <c r="P714" i="1"/>
  <c r="N714" i="1"/>
  <c r="L714" i="1"/>
  <c r="H714" i="1"/>
  <c r="W713" i="1"/>
  <c r="R713" i="1"/>
  <c r="P713" i="1"/>
  <c r="N713" i="1"/>
  <c r="L713" i="1"/>
  <c r="H713" i="1"/>
  <c r="V713" i="1" s="1"/>
  <c r="W712" i="1"/>
  <c r="R712" i="1"/>
  <c r="P712" i="1"/>
  <c r="N712" i="1"/>
  <c r="L712" i="1"/>
  <c r="H712" i="1"/>
  <c r="W711" i="1"/>
  <c r="R711" i="1"/>
  <c r="P711" i="1"/>
  <c r="N711" i="1"/>
  <c r="L711" i="1"/>
  <c r="H711" i="1"/>
  <c r="W710" i="1"/>
  <c r="R710" i="1"/>
  <c r="P710" i="1"/>
  <c r="N710" i="1"/>
  <c r="L710" i="1"/>
  <c r="H710" i="1"/>
  <c r="W709" i="1"/>
  <c r="R709" i="1"/>
  <c r="P709" i="1"/>
  <c r="N709" i="1"/>
  <c r="L709" i="1"/>
  <c r="H709" i="1"/>
  <c r="W708" i="1"/>
  <c r="R708" i="1"/>
  <c r="P708" i="1"/>
  <c r="N708" i="1"/>
  <c r="L708" i="1"/>
  <c r="H708" i="1"/>
  <c r="W707" i="1"/>
  <c r="V707" i="1"/>
  <c r="R707" i="1"/>
  <c r="P707" i="1"/>
  <c r="N707" i="1"/>
  <c r="T707" i="1" s="1"/>
  <c r="L707" i="1"/>
  <c r="H707" i="1"/>
  <c r="U707" i="1" s="1"/>
  <c r="C707" i="1"/>
  <c r="C708" i="1" s="1"/>
  <c r="C709" i="1" s="1"/>
  <c r="C710" i="1" s="1"/>
  <c r="C711" i="1" s="1"/>
  <c r="C712" i="1" s="1"/>
  <c r="C713" i="1" s="1"/>
  <c r="C714" i="1" s="1"/>
  <c r="C715" i="1" s="1"/>
  <c r="C716" i="1" s="1"/>
  <c r="C717" i="1" s="1"/>
  <c r="C718" i="1" s="1"/>
  <c r="C719" i="1" s="1"/>
  <c r="C720" i="1" s="1"/>
  <c r="C721" i="1" s="1"/>
  <c r="C722" i="1" s="1"/>
  <c r="C723" i="1" s="1"/>
  <c r="B707" i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W706" i="1"/>
  <c r="R706" i="1"/>
  <c r="P706" i="1"/>
  <c r="N706" i="1"/>
  <c r="T706" i="1" s="1"/>
  <c r="L706" i="1"/>
  <c r="H706" i="1"/>
  <c r="V706" i="1" s="1"/>
  <c r="C706" i="1"/>
  <c r="B706" i="1"/>
  <c r="W705" i="1"/>
  <c r="R705" i="1"/>
  <c r="P705" i="1"/>
  <c r="N705" i="1"/>
  <c r="L705" i="1"/>
  <c r="H705" i="1"/>
  <c r="W704" i="1"/>
  <c r="R704" i="1"/>
  <c r="P704" i="1"/>
  <c r="N704" i="1"/>
  <c r="L704" i="1"/>
  <c r="H704" i="1"/>
  <c r="U704" i="1" s="1"/>
  <c r="W703" i="1"/>
  <c r="R703" i="1"/>
  <c r="P703" i="1"/>
  <c r="N703" i="1"/>
  <c r="L703" i="1"/>
  <c r="H703" i="1"/>
  <c r="W702" i="1"/>
  <c r="R702" i="1"/>
  <c r="P702" i="1"/>
  <c r="N702" i="1"/>
  <c r="T702" i="1" s="1"/>
  <c r="L702" i="1"/>
  <c r="H702" i="1"/>
  <c r="W701" i="1"/>
  <c r="R701" i="1"/>
  <c r="P701" i="1"/>
  <c r="N701" i="1"/>
  <c r="L701" i="1"/>
  <c r="H701" i="1"/>
  <c r="W700" i="1"/>
  <c r="R700" i="1"/>
  <c r="P700" i="1"/>
  <c r="N700" i="1"/>
  <c r="T700" i="1" s="1"/>
  <c r="L700" i="1"/>
  <c r="H700" i="1"/>
  <c r="W699" i="1"/>
  <c r="R699" i="1"/>
  <c r="P699" i="1"/>
  <c r="N699" i="1"/>
  <c r="L699" i="1"/>
  <c r="H699" i="1"/>
  <c r="W698" i="1"/>
  <c r="R698" i="1"/>
  <c r="P698" i="1"/>
  <c r="N698" i="1"/>
  <c r="T698" i="1" s="1"/>
  <c r="L698" i="1"/>
  <c r="H698" i="1"/>
  <c r="W697" i="1"/>
  <c r="R697" i="1"/>
  <c r="P697" i="1"/>
  <c r="N697" i="1"/>
  <c r="L697" i="1"/>
  <c r="H697" i="1"/>
  <c r="U697" i="1" s="1"/>
  <c r="W696" i="1"/>
  <c r="R696" i="1"/>
  <c r="P696" i="1"/>
  <c r="N696" i="1"/>
  <c r="L696" i="1"/>
  <c r="H696" i="1"/>
  <c r="C696" i="1"/>
  <c r="C697" i="1" s="1"/>
  <c r="C698" i="1" s="1"/>
  <c r="C699" i="1" s="1"/>
  <c r="C700" i="1" s="1"/>
  <c r="C701" i="1" s="1"/>
  <c r="C702" i="1" s="1"/>
  <c r="C703" i="1" s="1"/>
  <c r="C704" i="1" s="1"/>
  <c r="W695" i="1"/>
  <c r="V695" i="1"/>
  <c r="R695" i="1"/>
  <c r="P695" i="1"/>
  <c r="N695" i="1"/>
  <c r="T695" i="1" s="1"/>
  <c r="L695" i="1"/>
  <c r="H695" i="1"/>
  <c r="U695" i="1" s="1"/>
  <c r="W694" i="1"/>
  <c r="R694" i="1"/>
  <c r="P694" i="1"/>
  <c r="N694" i="1"/>
  <c r="T694" i="1" s="1"/>
  <c r="L694" i="1"/>
  <c r="H694" i="1"/>
  <c r="U694" i="1" s="1"/>
  <c r="W693" i="1"/>
  <c r="R693" i="1"/>
  <c r="P693" i="1"/>
  <c r="N693" i="1"/>
  <c r="L693" i="1"/>
  <c r="H693" i="1"/>
  <c r="V693" i="1" s="1"/>
  <c r="W692" i="1"/>
  <c r="R692" i="1"/>
  <c r="P692" i="1"/>
  <c r="N692" i="1"/>
  <c r="T692" i="1" s="1"/>
  <c r="L692" i="1"/>
  <c r="H692" i="1"/>
  <c r="V692" i="1" s="1"/>
  <c r="W691" i="1"/>
  <c r="R691" i="1"/>
  <c r="P691" i="1"/>
  <c r="N691" i="1"/>
  <c r="L691" i="1"/>
  <c r="H691" i="1"/>
  <c r="W690" i="1"/>
  <c r="R690" i="1"/>
  <c r="P690" i="1"/>
  <c r="N690" i="1"/>
  <c r="L690" i="1"/>
  <c r="H690" i="1"/>
  <c r="W689" i="1"/>
  <c r="R689" i="1"/>
  <c r="P689" i="1"/>
  <c r="N689" i="1"/>
  <c r="L689" i="1"/>
  <c r="H689" i="1"/>
  <c r="W688" i="1"/>
  <c r="R688" i="1"/>
  <c r="P688" i="1"/>
  <c r="N688" i="1"/>
  <c r="L688" i="1"/>
  <c r="H688" i="1"/>
  <c r="W687" i="1"/>
  <c r="T687" i="1"/>
  <c r="R687" i="1"/>
  <c r="P687" i="1"/>
  <c r="N687" i="1"/>
  <c r="L687" i="1"/>
  <c r="H687" i="1"/>
  <c r="W686" i="1"/>
  <c r="R686" i="1"/>
  <c r="P686" i="1"/>
  <c r="N686" i="1"/>
  <c r="L686" i="1"/>
  <c r="H686" i="1"/>
  <c r="W685" i="1"/>
  <c r="R685" i="1"/>
  <c r="P685" i="1"/>
  <c r="N685" i="1"/>
  <c r="L685" i="1"/>
  <c r="H685" i="1"/>
  <c r="U685" i="1" s="1"/>
  <c r="W684" i="1"/>
  <c r="R684" i="1"/>
  <c r="P684" i="1"/>
  <c r="N684" i="1"/>
  <c r="L684" i="1"/>
  <c r="H684" i="1"/>
  <c r="V684" i="1" s="1"/>
  <c r="W683" i="1"/>
  <c r="R683" i="1"/>
  <c r="P683" i="1"/>
  <c r="N683" i="1"/>
  <c r="L683" i="1"/>
  <c r="H683" i="1"/>
  <c r="W682" i="1"/>
  <c r="R682" i="1"/>
  <c r="P682" i="1"/>
  <c r="N682" i="1"/>
  <c r="T682" i="1" s="1"/>
  <c r="L682" i="1"/>
  <c r="H682" i="1"/>
  <c r="U682" i="1" s="1"/>
  <c r="W681" i="1"/>
  <c r="R681" i="1"/>
  <c r="P681" i="1"/>
  <c r="N681" i="1"/>
  <c r="T681" i="1" s="1"/>
  <c r="L681" i="1"/>
  <c r="H681" i="1"/>
  <c r="U681" i="1" s="1"/>
  <c r="W680" i="1"/>
  <c r="R680" i="1"/>
  <c r="P680" i="1"/>
  <c r="N680" i="1"/>
  <c r="T680" i="1" s="1"/>
  <c r="L680" i="1"/>
  <c r="H680" i="1"/>
  <c r="V680" i="1" s="1"/>
  <c r="C680" i="1"/>
  <c r="C681" i="1" s="1"/>
  <c r="C682" i="1" s="1"/>
  <c r="C683" i="1" s="1"/>
  <c r="C684" i="1" s="1"/>
  <c r="C685" i="1" s="1"/>
  <c r="C686" i="1" s="1"/>
  <c r="C687" i="1" s="1"/>
  <c r="C688" i="1" s="1"/>
  <c r="C689" i="1" s="1"/>
  <c r="C690" i="1" s="1"/>
  <c r="C691" i="1" s="1"/>
  <c r="C692" i="1" s="1"/>
  <c r="C693" i="1" s="1"/>
  <c r="C694" i="1" s="1"/>
  <c r="W679" i="1"/>
  <c r="R679" i="1"/>
  <c r="P679" i="1"/>
  <c r="N679" i="1"/>
  <c r="T679" i="1" s="1"/>
  <c r="L679" i="1"/>
  <c r="H679" i="1"/>
  <c r="W678" i="1"/>
  <c r="R678" i="1"/>
  <c r="P678" i="1"/>
  <c r="N678" i="1"/>
  <c r="L678" i="1"/>
  <c r="H678" i="1"/>
  <c r="W677" i="1"/>
  <c r="R677" i="1"/>
  <c r="P677" i="1"/>
  <c r="N677" i="1"/>
  <c r="L677" i="1"/>
  <c r="H677" i="1"/>
  <c r="W676" i="1"/>
  <c r="R676" i="1"/>
  <c r="P676" i="1"/>
  <c r="N676" i="1"/>
  <c r="L676" i="1"/>
  <c r="H676" i="1"/>
  <c r="W675" i="1"/>
  <c r="R675" i="1"/>
  <c r="P675" i="1"/>
  <c r="N675" i="1"/>
  <c r="L675" i="1"/>
  <c r="H675" i="1"/>
  <c r="W674" i="1"/>
  <c r="R674" i="1"/>
  <c r="P674" i="1"/>
  <c r="N674" i="1"/>
  <c r="L674" i="1"/>
  <c r="H674" i="1"/>
  <c r="V674" i="1" s="1"/>
  <c r="W673" i="1"/>
  <c r="R673" i="1"/>
  <c r="P673" i="1"/>
  <c r="N673" i="1"/>
  <c r="L673" i="1"/>
  <c r="H673" i="1"/>
  <c r="V673" i="1" s="1"/>
  <c r="C673" i="1"/>
  <c r="C674" i="1" s="1"/>
  <c r="C675" i="1" s="1"/>
  <c r="C676" i="1" s="1"/>
  <c r="C677" i="1" s="1"/>
  <c r="C678" i="1" s="1"/>
  <c r="W672" i="1"/>
  <c r="R672" i="1"/>
  <c r="P672" i="1"/>
  <c r="N672" i="1"/>
  <c r="L672" i="1"/>
  <c r="H672" i="1"/>
  <c r="V672" i="1" s="1"/>
  <c r="W671" i="1"/>
  <c r="R671" i="1"/>
  <c r="P671" i="1"/>
  <c r="N671" i="1"/>
  <c r="L671" i="1"/>
  <c r="H671" i="1"/>
  <c r="W670" i="1"/>
  <c r="R670" i="1"/>
  <c r="P670" i="1"/>
  <c r="N670" i="1"/>
  <c r="L670" i="1"/>
  <c r="H670" i="1"/>
  <c r="V670" i="1" s="1"/>
  <c r="W669" i="1"/>
  <c r="R669" i="1"/>
  <c r="P669" i="1"/>
  <c r="N669" i="1"/>
  <c r="L669" i="1"/>
  <c r="H669" i="1"/>
  <c r="W668" i="1"/>
  <c r="R668" i="1"/>
  <c r="P668" i="1"/>
  <c r="N668" i="1"/>
  <c r="L668" i="1"/>
  <c r="H668" i="1"/>
  <c r="U668" i="1" s="1"/>
  <c r="W667" i="1"/>
  <c r="R667" i="1"/>
  <c r="P667" i="1"/>
  <c r="N667" i="1"/>
  <c r="L667" i="1"/>
  <c r="H667" i="1"/>
  <c r="V667" i="1" s="1"/>
  <c r="W666" i="1"/>
  <c r="R666" i="1"/>
  <c r="P666" i="1"/>
  <c r="N666" i="1"/>
  <c r="L666" i="1"/>
  <c r="H666" i="1"/>
  <c r="W665" i="1"/>
  <c r="R665" i="1"/>
  <c r="P665" i="1"/>
  <c r="N665" i="1"/>
  <c r="L665" i="1"/>
  <c r="H665" i="1"/>
  <c r="W664" i="1"/>
  <c r="R664" i="1"/>
  <c r="P664" i="1"/>
  <c r="N664" i="1"/>
  <c r="L664" i="1"/>
  <c r="H664" i="1"/>
  <c r="W663" i="1"/>
  <c r="R663" i="1"/>
  <c r="P663" i="1"/>
  <c r="N663" i="1"/>
  <c r="T663" i="1" s="1"/>
  <c r="L663" i="1"/>
  <c r="H663" i="1"/>
  <c r="U663" i="1" s="1"/>
  <c r="W662" i="1"/>
  <c r="R662" i="1"/>
  <c r="P662" i="1"/>
  <c r="N662" i="1"/>
  <c r="L662" i="1"/>
  <c r="H662" i="1"/>
  <c r="V662" i="1" s="1"/>
  <c r="W661" i="1"/>
  <c r="R661" i="1"/>
  <c r="P661" i="1"/>
  <c r="N661" i="1"/>
  <c r="L661" i="1"/>
  <c r="H661" i="1"/>
  <c r="W660" i="1"/>
  <c r="R660" i="1"/>
  <c r="P660" i="1"/>
  <c r="N660" i="1"/>
  <c r="L660" i="1"/>
  <c r="H660" i="1"/>
  <c r="V660" i="1" s="1"/>
  <c r="W659" i="1"/>
  <c r="R659" i="1"/>
  <c r="P659" i="1"/>
  <c r="N659" i="1"/>
  <c r="L659" i="1"/>
  <c r="H659" i="1"/>
  <c r="V659" i="1" s="1"/>
  <c r="W658" i="1"/>
  <c r="R658" i="1"/>
  <c r="P658" i="1"/>
  <c r="N658" i="1"/>
  <c r="L658" i="1"/>
  <c r="H658" i="1"/>
  <c r="V658" i="1" s="1"/>
  <c r="W657" i="1"/>
  <c r="R657" i="1"/>
  <c r="P657" i="1"/>
  <c r="N657" i="1"/>
  <c r="L657" i="1"/>
  <c r="H657" i="1"/>
  <c r="U657" i="1" s="1"/>
  <c r="C657" i="1"/>
  <c r="C658" i="1" s="1"/>
  <c r="C659" i="1" s="1"/>
  <c r="C660" i="1" s="1"/>
  <c r="C661" i="1" s="1"/>
  <c r="C662" i="1" s="1"/>
  <c r="C663" i="1" s="1"/>
  <c r="C664" i="1" s="1"/>
  <c r="C665" i="1" s="1"/>
  <c r="C666" i="1" s="1"/>
  <c r="C667" i="1" s="1"/>
  <c r="C668" i="1" s="1"/>
  <c r="C669" i="1" s="1"/>
  <c r="C670" i="1" s="1"/>
  <c r="C671" i="1" s="1"/>
  <c r="W656" i="1"/>
  <c r="R656" i="1"/>
  <c r="P656" i="1"/>
  <c r="N656" i="1"/>
  <c r="L656" i="1"/>
  <c r="H656" i="1"/>
  <c r="V656" i="1" s="1"/>
  <c r="W655" i="1"/>
  <c r="R655" i="1"/>
  <c r="P655" i="1"/>
  <c r="N655" i="1"/>
  <c r="L655" i="1"/>
  <c r="H655" i="1"/>
  <c r="W654" i="1"/>
  <c r="R654" i="1"/>
  <c r="P654" i="1"/>
  <c r="N654" i="1"/>
  <c r="T654" i="1" s="1"/>
  <c r="L654" i="1"/>
  <c r="H654" i="1"/>
  <c r="W653" i="1"/>
  <c r="R653" i="1"/>
  <c r="P653" i="1"/>
  <c r="N653" i="1"/>
  <c r="L653" i="1"/>
  <c r="H653" i="1"/>
  <c r="W652" i="1"/>
  <c r="R652" i="1"/>
  <c r="P652" i="1"/>
  <c r="N652" i="1"/>
  <c r="T652" i="1" s="1"/>
  <c r="L652" i="1"/>
  <c r="H652" i="1"/>
  <c r="U652" i="1" s="1"/>
  <c r="W651" i="1"/>
  <c r="R651" i="1"/>
  <c r="P651" i="1"/>
  <c r="N651" i="1"/>
  <c r="L651" i="1"/>
  <c r="H651" i="1"/>
  <c r="V651" i="1" s="1"/>
  <c r="W650" i="1"/>
  <c r="R650" i="1"/>
  <c r="P650" i="1"/>
  <c r="N650" i="1"/>
  <c r="T650" i="1" s="1"/>
  <c r="L650" i="1"/>
  <c r="H650" i="1"/>
  <c r="U650" i="1" s="1"/>
  <c r="W649" i="1"/>
  <c r="R649" i="1"/>
  <c r="P649" i="1"/>
  <c r="N649" i="1"/>
  <c r="T649" i="1" s="1"/>
  <c r="L649" i="1"/>
  <c r="H649" i="1"/>
  <c r="U649" i="1" s="1"/>
  <c r="W648" i="1"/>
  <c r="R648" i="1"/>
  <c r="P648" i="1"/>
  <c r="N648" i="1"/>
  <c r="T648" i="1" s="1"/>
  <c r="L648" i="1"/>
  <c r="H648" i="1"/>
  <c r="V648" i="1" s="1"/>
  <c r="W647" i="1"/>
  <c r="R647" i="1"/>
  <c r="P647" i="1"/>
  <c r="N647" i="1"/>
  <c r="T647" i="1" s="1"/>
  <c r="L647" i="1"/>
  <c r="H647" i="1"/>
  <c r="W646" i="1"/>
  <c r="R646" i="1"/>
  <c r="P646" i="1"/>
  <c r="N646" i="1"/>
  <c r="L646" i="1"/>
  <c r="H646" i="1"/>
  <c r="U646" i="1" s="1"/>
  <c r="W645" i="1"/>
  <c r="R645" i="1"/>
  <c r="P645" i="1"/>
  <c r="N645" i="1"/>
  <c r="T645" i="1" s="1"/>
  <c r="L645" i="1"/>
  <c r="H645" i="1"/>
  <c r="W644" i="1"/>
  <c r="R644" i="1"/>
  <c r="P644" i="1"/>
  <c r="N644" i="1"/>
  <c r="T644" i="1" s="1"/>
  <c r="L644" i="1"/>
  <c r="H644" i="1"/>
  <c r="V644" i="1" s="1"/>
  <c r="W643" i="1"/>
  <c r="R643" i="1"/>
  <c r="P643" i="1"/>
  <c r="N643" i="1"/>
  <c r="T643" i="1" s="1"/>
  <c r="L643" i="1"/>
  <c r="H643" i="1"/>
  <c r="C643" i="1"/>
  <c r="C644" i="1" s="1"/>
  <c r="C645" i="1" s="1"/>
  <c r="C646" i="1" s="1"/>
  <c r="C647" i="1" s="1"/>
  <c r="C648" i="1" s="1"/>
  <c r="C649" i="1" s="1"/>
  <c r="C650" i="1" s="1"/>
  <c r="C651" i="1" s="1"/>
  <c r="C652" i="1" s="1"/>
  <c r="C653" i="1" s="1"/>
  <c r="C654" i="1" s="1"/>
  <c r="C655" i="1" s="1"/>
  <c r="W642" i="1"/>
  <c r="T642" i="1"/>
  <c r="R642" i="1"/>
  <c r="P642" i="1"/>
  <c r="N642" i="1"/>
  <c r="L642" i="1"/>
  <c r="H642" i="1"/>
  <c r="W641" i="1"/>
  <c r="R641" i="1"/>
  <c r="P641" i="1"/>
  <c r="N641" i="1"/>
  <c r="T641" i="1" s="1"/>
  <c r="L641" i="1"/>
  <c r="H641" i="1"/>
  <c r="V641" i="1" s="1"/>
  <c r="W640" i="1"/>
  <c r="R640" i="1"/>
  <c r="P640" i="1"/>
  <c r="N640" i="1"/>
  <c r="T640" i="1" s="1"/>
  <c r="L640" i="1"/>
  <c r="H640" i="1"/>
  <c r="V640" i="1" s="1"/>
  <c r="W639" i="1"/>
  <c r="R639" i="1"/>
  <c r="P639" i="1"/>
  <c r="N639" i="1"/>
  <c r="T639" i="1" s="1"/>
  <c r="L639" i="1"/>
  <c r="H639" i="1"/>
  <c r="V639" i="1" s="1"/>
  <c r="W638" i="1"/>
  <c r="R638" i="1"/>
  <c r="P638" i="1"/>
  <c r="N638" i="1"/>
  <c r="T638" i="1" s="1"/>
  <c r="L638" i="1"/>
  <c r="H638" i="1"/>
  <c r="V638" i="1" s="1"/>
  <c r="W637" i="1"/>
  <c r="R637" i="1"/>
  <c r="P637" i="1"/>
  <c r="N637" i="1"/>
  <c r="T637" i="1" s="1"/>
  <c r="L637" i="1"/>
  <c r="H637" i="1"/>
  <c r="V637" i="1" s="1"/>
  <c r="C637" i="1"/>
  <c r="C638" i="1" s="1"/>
  <c r="C639" i="1" s="1"/>
  <c r="C640" i="1" s="1"/>
  <c r="C641" i="1" s="1"/>
  <c r="W636" i="1"/>
  <c r="R636" i="1"/>
  <c r="P636" i="1"/>
  <c r="N636" i="1"/>
  <c r="T636" i="1" s="1"/>
  <c r="L636" i="1"/>
  <c r="H636" i="1"/>
  <c r="W635" i="1"/>
  <c r="R635" i="1"/>
  <c r="P635" i="1"/>
  <c r="N635" i="1"/>
  <c r="L635" i="1"/>
  <c r="H635" i="1"/>
  <c r="V635" i="1" s="1"/>
  <c r="W634" i="1"/>
  <c r="R634" i="1"/>
  <c r="P634" i="1"/>
  <c r="N634" i="1"/>
  <c r="L634" i="1"/>
  <c r="H634" i="1"/>
  <c r="V634" i="1" s="1"/>
  <c r="W633" i="1"/>
  <c r="R633" i="1"/>
  <c r="P633" i="1"/>
  <c r="N633" i="1"/>
  <c r="L633" i="1"/>
  <c r="H633" i="1"/>
  <c r="W632" i="1"/>
  <c r="R632" i="1"/>
  <c r="P632" i="1"/>
  <c r="N632" i="1"/>
  <c r="T632" i="1" s="1"/>
  <c r="L632" i="1"/>
  <c r="H632" i="1"/>
  <c r="W631" i="1"/>
  <c r="R631" i="1"/>
  <c r="P631" i="1"/>
  <c r="N631" i="1"/>
  <c r="L631" i="1"/>
  <c r="H631" i="1"/>
  <c r="W630" i="1"/>
  <c r="R630" i="1"/>
  <c r="P630" i="1"/>
  <c r="N630" i="1"/>
  <c r="L630" i="1"/>
  <c r="H630" i="1"/>
  <c r="U630" i="1" s="1"/>
  <c r="W629" i="1"/>
  <c r="R629" i="1"/>
  <c r="P629" i="1"/>
  <c r="N629" i="1"/>
  <c r="L629" i="1"/>
  <c r="H629" i="1"/>
  <c r="V629" i="1" s="1"/>
  <c r="W628" i="1"/>
  <c r="R628" i="1"/>
  <c r="P628" i="1"/>
  <c r="N628" i="1"/>
  <c r="T628" i="1" s="1"/>
  <c r="L628" i="1"/>
  <c r="H628" i="1"/>
  <c r="W627" i="1"/>
  <c r="R627" i="1"/>
  <c r="P627" i="1"/>
  <c r="N627" i="1"/>
  <c r="L627" i="1"/>
  <c r="H627" i="1"/>
  <c r="V627" i="1" s="1"/>
  <c r="W626" i="1"/>
  <c r="R626" i="1"/>
  <c r="P626" i="1"/>
  <c r="N626" i="1"/>
  <c r="T626" i="1" s="1"/>
  <c r="L626" i="1"/>
  <c r="H626" i="1"/>
  <c r="W625" i="1"/>
  <c r="R625" i="1"/>
  <c r="P625" i="1"/>
  <c r="N625" i="1"/>
  <c r="L625" i="1"/>
  <c r="H625" i="1"/>
  <c r="V625" i="1" s="1"/>
  <c r="W624" i="1"/>
  <c r="R624" i="1"/>
  <c r="P624" i="1"/>
  <c r="N624" i="1"/>
  <c r="L624" i="1"/>
  <c r="H624" i="1"/>
  <c r="U624" i="1" s="1"/>
  <c r="C624" i="1"/>
  <c r="C625" i="1" s="1"/>
  <c r="C626" i="1" s="1"/>
  <c r="C627" i="1" s="1"/>
  <c r="C628" i="1" s="1"/>
  <c r="C629" i="1" s="1"/>
  <c r="C630" i="1" s="1"/>
  <c r="C631" i="1" s="1"/>
  <c r="C632" i="1" s="1"/>
  <c r="C633" i="1" s="1"/>
  <c r="C634" i="1" s="1"/>
  <c r="C635" i="1" s="1"/>
  <c r="W623" i="1"/>
  <c r="V623" i="1"/>
  <c r="R623" i="1"/>
  <c r="P623" i="1"/>
  <c r="N623" i="1"/>
  <c r="T623" i="1" s="1"/>
  <c r="L623" i="1"/>
  <c r="H623" i="1"/>
  <c r="U623" i="1" s="1"/>
  <c r="W622" i="1"/>
  <c r="R622" i="1"/>
  <c r="P622" i="1"/>
  <c r="N622" i="1"/>
  <c r="T622" i="1" s="1"/>
  <c r="L622" i="1"/>
  <c r="H622" i="1"/>
  <c r="V622" i="1" s="1"/>
  <c r="W621" i="1"/>
  <c r="R621" i="1"/>
  <c r="P621" i="1"/>
  <c r="N621" i="1"/>
  <c r="L621" i="1"/>
  <c r="H621" i="1"/>
  <c r="W620" i="1"/>
  <c r="R620" i="1"/>
  <c r="P620" i="1"/>
  <c r="N620" i="1"/>
  <c r="L620" i="1"/>
  <c r="H620" i="1"/>
  <c r="U620" i="1" s="1"/>
  <c r="W619" i="1"/>
  <c r="R619" i="1"/>
  <c r="P619" i="1"/>
  <c r="N619" i="1"/>
  <c r="T619" i="1" s="1"/>
  <c r="L619" i="1"/>
  <c r="H619" i="1"/>
  <c r="V619" i="1" s="1"/>
  <c r="W618" i="1"/>
  <c r="R618" i="1"/>
  <c r="P618" i="1"/>
  <c r="N618" i="1"/>
  <c r="L618" i="1"/>
  <c r="H618" i="1"/>
  <c r="V618" i="1" s="1"/>
  <c r="W617" i="1"/>
  <c r="R617" i="1"/>
  <c r="P617" i="1"/>
  <c r="N617" i="1"/>
  <c r="L617" i="1"/>
  <c r="H617" i="1"/>
  <c r="V617" i="1" s="1"/>
  <c r="W616" i="1"/>
  <c r="R616" i="1"/>
  <c r="P616" i="1"/>
  <c r="N616" i="1"/>
  <c r="L616" i="1"/>
  <c r="H616" i="1"/>
  <c r="W615" i="1"/>
  <c r="R615" i="1"/>
  <c r="P615" i="1"/>
  <c r="N615" i="1"/>
  <c r="L615" i="1"/>
  <c r="H615" i="1"/>
  <c r="W614" i="1"/>
  <c r="R614" i="1"/>
  <c r="P614" i="1"/>
  <c r="N614" i="1"/>
  <c r="T614" i="1" s="1"/>
  <c r="L614" i="1"/>
  <c r="H614" i="1"/>
  <c r="V614" i="1" s="1"/>
  <c r="W613" i="1"/>
  <c r="R613" i="1"/>
  <c r="P613" i="1"/>
  <c r="N613" i="1"/>
  <c r="L613" i="1"/>
  <c r="H613" i="1"/>
  <c r="W612" i="1"/>
  <c r="R612" i="1"/>
  <c r="P612" i="1"/>
  <c r="N612" i="1"/>
  <c r="T612" i="1" s="1"/>
  <c r="L612" i="1"/>
  <c r="H612" i="1"/>
  <c r="V612" i="1" s="1"/>
  <c r="W611" i="1"/>
  <c r="R611" i="1"/>
  <c r="P611" i="1"/>
  <c r="N611" i="1"/>
  <c r="L611" i="1"/>
  <c r="H611" i="1"/>
  <c r="V611" i="1" s="1"/>
  <c r="W610" i="1"/>
  <c r="R610" i="1"/>
  <c r="P610" i="1"/>
  <c r="N610" i="1"/>
  <c r="L610" i="1"/>
  <c r="H610" i="1"/>
  <c r="W609" i="1"/>
  <c r="R609" i="1"/>
  <c r="P609" i="1"/>
  <c r="N609" i="1"/>
  <c r="L609" i="1"/>
  <c r="H609" i="1"/>
  <c r="V609" i="1" s="1"/>
  <c r="C609" i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W608" i="1"/>
  <c r="R608" i="1"/>
  <c r="P608" i="1"/>
  <c r="N608" i="1"/>
  <c r="L608" i="1"/>
  <c r="H608" i="1"/>
  <c r="V608" i="1" s="1"/>
  <c r="W607" i="1"/>
  <c r="R607" i="1"/>
  <c r="P607" i="1"/>
  <c r="N607" i="1"/>
  <c r="L607" i="1"/>
  <c r="H607" i="1"/>
  <c r="U607" i="1" s="1"/>
  <c r="W606" i="1"/>
  <c r="R606" i="1"/>
  <c r="P606" i="1"/>
  <c r="N606" i="1"/>
  <c r="L606" i="1"/>
  <c r="H606" i="1"/>
  <c r="V606" i="1" s="1"/>
  <c r="W605" i="1"/>
  <c r="R605" i="1"/>
  <c r="P605" i="1"/>
  <c r="N605" i="1"/>
  <c r="T605" i="1" s="1"/>
  <c r="L605" i="1"/>
  <c r="H605" i="1"/>
  <c r="W604" i="1"/>
  <c r="R604" i="1"/>
  <c r="P604" i="1"/>
  <c r="N604" i="1"/>
  <c r="L604" i="1"/>
  <c r="H604" i="1"/>
  <c r="V604" i="1" s="1"/>
  <c r="W603" i="1"/>
  <c r="R603" i="1"/>
  <c r="P603" i="1"/>
  <c r="N603" i="1"/>
  <c r="T603" i="1" s="1"/>
  <c r="L603" i="1"/>
  <c r="H603" i="1"/>
  <c r="V603" i="1" s="1"/>
  <c r="W602" i="1"/>
  <c r="R602" i="1"/>
  <c r="P602" i="1"/>
  <c r="N602" i="1"/>
  <c r="L602" i="1"/>
  <c r="H602" i="1"/>
  <c r="U602" i="1" s="1"/>
  <c r="W601" i="1"/>
  <c r="R601" i="1"/>
  <c r="P601" i="1"/>
  <c r="N601" i="1"/>
  <c r="T601" i="1" s="1"/>
  <c r="L601" i="1"/>
  <c r="H601" i="1"/>
  <c r="V601" i="1" s="1"/>
  <c r="W600" i="1"/>
  <c r="R600" i="1"/>
  <c r="P600" i="1"/>
  <c r="N600" i="1"/>
  <c r="L600" i="1"/>
  <c r="H600" i="1"/>
  <c r="W599" i="1"/>
  <c r="R599" i="1"/>
  <c r="P599" i="1"/>
  <c r="N599" i="1"/>
  <c r="L599" i="1"/>
  <c r="H599" i="1"/>
  <c r="U599" i="1" s="1"/>
  <c r="W598" i="1"/>
  <c r="R598" i="1"/>
  <c r="P598" i="1"/>
  <c r="N598" i="1"/>
  <c r="T598" i="1" s="1"/>
  <c r="L598" i="1"/>
  <c r="H598" i="1"/>
  <c r="V598" i="1" s="1"/>
  <c r="C598" i="1"/>
  <c r="C599" i="1" s="1"/>
  <c r="C600" i="1" s="1"/>
  <c r="C601" i="1" s="1"/>
  <c r="C602" i="1" s="1"/>
  <c r="C603" i="1" s="1"/>
  <c r="C604" i="1" s="1"/>
  <c r="C605" i="1" s="1"/>
  <c r="C606" i="1" s="1"/>
  <c r="C607" i="1" s="1"/>
  <c r="W597" i="1"/>
  <c r="R597" i="1"/>
  <c r="P597" i="1"/>
  <c r="N597" i="1"/>
  <c r="T597" i="1" s="1"/>
  <c r="L597" i="1"/>
  <c r="H597" i="1"/>
  <c r="W596" i="1"/>
  <c r="R596" i="1"/>
  <c r="P596" i="1"/>
  <c r="N596" i="1"/>
  <c r="T596" i="1" s="1"/>
  <c r="L596" i="1"/>
  <c r="H596" i="1"/>
  <c r="V596" i="1" s="1"/>
  <c r="W595" i="1"/>
  <c r="R595" i="1"/>
  <c r="P595" i="1"/>
  <c r="N595" i="1"/>
  <c r="T595" i="1" s="1"/>
  <c r="L595" i="1"/>
  <c r="H595" i="1"/>
  <c r="V595" i="1" s="1"/>
  <c r="W594" i="1"/>
  <c r="R594" i="1"/>
  <c r="P594" i="1"/>
  <c r="N594" i="1"/>
  <c r="T594" i="1" s="1"/>
  <c r="L594" i="1"/>
  <c r="H594" i="1"/>
  <c r="V594" i="1" s="1"/>
  <c r="W593" i="1"/>
  <c r="R593" i="1"/>
  <c r="P593" i="1"/>
  <c r="N593" i="1"/>
  <c r="T593" i="1" s="1"/>
  <c r="L593" i="1"/>
  <c r="H593" i="1"/>
  <c r="C593" i="1"/>
  <c r="C594" i="1" s="1"/>
  <c r="C595" i="1" s="1"/>
  <c r="C596" i="1" s="1"/>
  <c r="W592" i="1"/>
  <c r="R592" i="1"/>
  <c r="P592" i="1"/>
  <c r="N592" i="1"/>
  <c r="T592" i="1" s="1"/>
  <c r="L592" i="1"/>
  <c r="H592" i="1"/>
  <c r="V592" i="1" s="1"/>
  <c r="W591" i="1"/>
  <c r="R591" i="1"/>
  <c r="P591" i="1"/>
  <c r="N591" i="1"/>
  <c r="T591" i="1" s="1"/>
  <c r="L591" i="1"/>
  <c r="H591" i="1"/>
  <c r="V591" i="1" s="1"/>
  <c r="W590" i="1"/>
  <c r="R590" i="1"/>
  <c r="P590" i="1"/>
  <c r="N590" i="1"/>
  <c r="L590" i="1"/>
  <c r="H590" i="1"/>
  <c r="W589" i="1"/>
  <c r="R589" i="1"/>
  <c r="P589" i="1"/>
  <c r="N589" i="1"/>
  <c r="T589" i="1" s="1"/>
  <c r="L589" i="1"/>
  <c r="H589" i="1"/>
  <c r="W588" i="1"/>
  <c r="R588" i="1"/>
  <c r="P588" i="1"/>
  <c r="N588" i="1"/>
  <c r="T588" i="1" s="1"/>
  <c r="L588" i="1"/>
  <c r="H588" i="1"/>
  <c r="U588" i="1" s="1"/>
  <c r="W587" i="1"/>
  <c r="R587" i="1"/>
  <c r="P587" i="1"/>
  <c r="N587" i="1"/>
  <c r="L587" i="1"/>
  <c r="H587" i="1"/>
  <c r="U587" i="1" s="1"/>
  <c r="W586" i="1"/>
  <c r="R586" i="1"/>
  <c r="P586" i="1"/>
  <c r="N586" i="1"/>
  <c r="L586" i="1"/>
  <c r="H586" i="1"/>
  <c r="W585" i="1"/>
  <c r="R585" i="1"/>
  <c r="P585" i="1"/>
  <c r="N585" i="1"/>
  <c r="L585" i="1"/>
  <c r="H585" i="1"/>
  <c r="V585" i="1" s="1"/>
  <c r="C585" i="1"/>
  <c r="C586" i="1" s="1"/>
  <c r="C587" i="1" s="1"/>
  <c r="C588" i="1" s="1"/>
  <c r="C589" i="1" s="1"/>
  <c r="C590" i="1" s="1"/>
  <c r="C591" i="1" s="1"/>
  <c r="W584" i="1"/>
  <c r="R584" i="1"/>
  <c r="P584" i="1"/>
  <c r="N584" i="1"/>
  <c r="T584" i="1" s="1"/>
  <c r="L584" i="1"/>
  <c r="H584" i="1"/>
  <c r="V584" i="1" s="1"/>
  <c r="W583" i="1"/>
  <c r="R583" i="1"/>
  <c r="P583" i="1"/>
  <c r="N583" i="1"/>
  <c r="L583" i="1"/>
  <c r="H583" i="1"/>
  <c r="W582" i="1"/>
  <c r="R582" i="1"/>
  <c r="P582" i="1"/>
  <c r="N582" i="1"/>
  <c r="L582" i="1"/>
  <c r="H582" i="1"/>
  <c r="V582" i="1" s="1"/>
  <c r="W581" i="1"/>
  <c r="R581" i="1"/>
  <c r="P581" i="1"/>
  <c r="N581" i="1"/>
  <c r="T581" i="1" s="1"/>
  <c r="L581" i="1"/>
  <c r="H581" i="1"/>
  <c r="V581" i="1" s="1"/>
  <c r="W580" i="1"/>
  <c r="R580" i="1"/>
  <c r="P580" i="1"/>
  <c r="N580" i="1"/>
  <c r="T580" i="1" s="1"/>
  <c r="L580" i="1"/>
  <c r="H580" i="1"/>
  <c r="V580" i="1" s="1"/>
  <c r="W579" i="1"/>
  <c r="R579" i="1"/>
  <c r="P579" i="1"/>
  <c r="N579" i="1"/>
  <c r="T579" i="1" s="1"/>
  <c r="L579" i="1"/>
  <c r="H579" i="1"/>
  <c r="V579" i="1" s="1"/>
  <c r="W578" i="1"/>
  <c r="R578" i="1"/>
  <c r="P578" i="1"/>
  <c r="N578" i="1"/>
  <c r="L578" i="1"/>
  <c r="H578" i="1"/>
  <c r="U578" i="1" s="1"/>
  <c r="W577" i="1"/>
  <c r="R577" i="1"/>
  <c r="P577" i="1"/>
  <c r="N577" i="1"/>
  <c r="L577" i="1"/>
  <c r="H577" i="1"/>
  <c r="V577" i="1" s="1"/>
  <c r="W576" i="1"/>
  <c r="R576" i="1"/>
  <c r="P576" i="1"/>
  <c r="N576" i="1"/>
  <c r="T576" i="1" s="1"/>
  <c r="L576" i="1"/>
  <c r="H576" i="1"/>
  <c r="U576" i="1" s="1"/>
  <c r="W575" i="1"/>
  <c r="R575" i="1"/>
  <c r="P575" i="1"/>
  <c r="N575" i="1"/>
  <c r="L575" i="1"/>
  <c r="H575" i="1"/>
  <c r="W574" i="1"/>
  <c r="R574" i="1"/>
  <c r="P574" i="1"/>
  <c r="N574" i="1"/>
  <c r="T574" i="1" s="1"/>
  <c r="L574" i="1"/>
  <c r="H574" i="1"/>
  <c r="V574" i="1" s="1"/>
  <c r="W573" i="1"/>
  <c r="R573" i="1"/>
  <c r="P573" i="1"/>
  <c r="N573" i="1"/>
  <c r="L573" i="1"/>
  <c r="H573" i="1"/>
  <c r="V573" i="1" s="1"/>
  <c r="W572" i="1"/>
  <c r="R572" i="1"/>
  <c r="P572" i="1"/>
  <c r="N572" i="1"/>
  <c r="L572" i="1"/>
  <c r="H572" i="1"/>
  <c r="V572" i="1" s="1"/>
  <c r="C572" i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W571" i="1"/>
  <c r="R571" i="1"/>
  <c r="P571" i="1"/>
  <c r="N571" i="1"/>
  <c r="L571" i="1"/>
  <c r="H571" i="1"/>
  <c r="W570" i="1"/>
  <c r="R570" i="1"/>
  <c r="P570" i="1"/>
  <c r="N570" i="1"/>
  <c r="T570" i="1" s="1"/>
  <c r="L570" i="1"/>
  <c r="H570" i="1"/>
  <c r="V570" i="1" s="1"/>
  <c r="W569" i="1"/>
  <c r="R569" i="1"/>
  <c r="P569" i="1"/>
  <c r="N569" i="1"/>
  <c r="L569" i="1"/>
  <c r="H569" i="1"/>
  <c r="V569" i="1" s="1"/>
  <c r="W568" i="1"/>
  <c r="R568" i="1"/>
  <c r="P568" i="1"/>
  <c r="N568" i="1"/>
  <c r="T568" i="1" s="1"/>
  <c r="L568" i="1"/>
  <c r="H568" i="1"/>
  <c r="U568" i="1" s="1"/>
  <c r="W567" i="1"/>
  <c r="R567" i="1"/>
  <c r="P567" i="1"/>
  <c r="N567" i="1"/>
  <c r="L567" i="1"/>
  <c r="H567" i="1"/>
  <c r="U567" i="1" s="1"/>
  <c r="W566" i="1"/>
  <c r="R566" i="1"/>
  <c r="P566" i="1"/>
  <c r="N566" i="1"/>
  <c r="L566" i="1"/>
  <c r="H566" i="1"/>
  <c r="V566" i="1" s="1"/>
  <c r="W565" i="1"/>
  <c r="R565" i="1"/>
  <c r="P565" i="1"/>
  <c r="N565" i="1"/>
  <c r="T565" i="1" s="1"/>
  <c r="L565" i="1"/>
  <c r="H565" i="1"/>
  <c r="U565" i="1" s="1"/>
  <c r="C565" i="1"/>
  <c r="C566" i="1" s="1"/>
  <c r="C567" i="1" s="1"/>
  <c r="C568" i="1" s="1"/>
  <c r="C569" i="1" s="1"/>
  <c r="C570" i="1" s="1"/>
  <c r="W564" i="1"/>
  <c r="R564" i="1"/>
  <c r="P564" i="1"/>
  <c r="N564" i="1"/>
  <c r="L564" i="1"/>
  <c r="H564" i="1"/>
  <c r="W563" i="1"/>
  <c r="R563" i="1"/>
  <c r="P563" i="1"/>
  <c r="N563" i="1"/>
  <c r="L563" i="1"/>
  <c r="H563" i="1"/>
  <c r="V563" i="1" s="1"/>
  <c r="W562" i="1"/>
  <c r="R562" i="1"/>
  <c r="P562" i="1"/>
  <c r="N562" i="1"/>
  <c r="L562" i="1"/>
  <c r="H562" i="1"/>
  <c r="V562" i="1" s="1"/>
  <c r="W561" i="1"/>
  <c r="R561" i="1"/>
  <c r="P561" i="1"/>
  <c r="N561" i="1"/>
  <c r="L561" i="1"/>
  <c r="H561" i="1"/>
  <c r="W560" i="1"/>
  <c r="R560" i="1"/>
  <c r="P560" i="1"/>
  <c r="N560" i="1"/>
  <c r="L560" i="1"/>
  <c r="H560" i="1"/>
  <c r="V560" i="1" s="1"/>
  <c r="W559" i="1"/>
  <c r="R559" i="1"/>
  <c r="P559" i="1"/>
  <c r="N559" i="1"/>
  <c r="L559" i="1"/>
  <c r="H559" i="1"/>
  <c r="V559" i="1" s="1"/>
  <c r="W558" i="1"/>
  <c r="R558" i="1"/>
  <c r="P558" i="1"/>
  <c r="N558" i="1"/>
  <c r="L558" i="1"/>
  <c r="H558" i="1"/>
  <c r="V558" i="1" s="1"/>
  <c r="W557" i="1"/>
  <c r="R557" i="1"/>
  <c r="P557" i="1"/>
  <c r="N557" i="1"/>
  <c r="L557" i="1"/>
  <c r="H557" i="1"/>
  <c r="U557" i="1" s="1"/>
  <c r="W556" i="1"/>
  <c r="R556" i="1"/>
  <c r="P556" i="1"/>
  <c r="N556" i="1"/>
  <c r="L556" i="1"/>
  <c r="H556" i="1"/>
  <c r="U556" i="1" s="1"/>
  <c r="W555" i="1"/>
  <c r="R555" i="1"/>
  <c r="P555" i="1"/>
  <c r="N555" i="1"/>
  <c r="L555" i="1"/>
  <c r="H555" i="1"/>
  <c r="V555" i="1" s="1"/>
  <c r="W554" i="1"/>
  <c r="R554" i="1"/>
  <c r="P554" i="1"/>
  <c r="N554" i="1"/>
  <c r="L554" i="1"/>
  <c r="H554" i="1"/>
  <c r="W553" i="1"/>
  <c r="R553" i="1"/>
  <c r="P553" i="1"/>
  <c r="N553" i="1"/>
  <c r="L553" i="1"/>
  <c r="H553" i="1"/>
  <c r="V553" i="1" s="1"/>
  <c r="C553" i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B553" i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W552" i="1"/>
  <c r="R552" i="1"/>
  <c r="P552" i="1"/>
  <c r="N552" i="1"/>
  <c r="L552" i="1"/>
  <c r="H552" i="1"/>
  <c r="V552" i="1" s="1"/>
  <c r="W551" i="1"/>
  <c r="R551" i="1"/>
  <c r="P551" i="1"/>
  <c r="N551" i="1"/>
  <c r="L551" i="1"/>
  <c r="H551" i="1"/>
  <c r="W550" i="1"/>
  <c r="R550" i="1"/>
  <c r="P550" i="1"/>
  <c r="N550" i="1"/>
  <c r="L550" i="1"/>
  <c r="H550" i="1"/>
  <c r="V550" i="1" s="1"/>
  <c r="W549" i="1"/>
  <c r="R549" i="1"/>
  <c r="P549" i="1"/>
  <c r="N549" i="1"/>
  <c r="L549" i="1"/>
  <c r="H549" i="1"/>
  <c r="V549" i="1" s="1"/>
  <c r="W548" i="1"/>
  <c r="R548" i="1"/>
  <c r="P548" i="1"/>
  <c r="N548" i="1"/>
  <c r="L548" i="1"/>
  <c r="H548" i="1"/>
  <c r="U548" i="1" s="1"/>
  <c r="W547" i="1"/>
  <c r="R547" i="1"/>
  <c r="P547" i="1"/>
  <c r="N547" i="1"/>
  <c r="L547" i="1"/>
  <c r="H547" i="1"/>
  <c r="U547" i="1" s="1"/>
  <c r="W546" i="1"/>
  <c r="V546" i="1"/>
  <c r="R546" i="1"/>
  <c r="P546" i="1"/>
  <c r="N546" i="1"/>
  <c r="L546" i="1"/>
  <c r="H546" i="1"/>
  <c r="U546" i="1" s="1"/>
  <c r="W545" i="1"/>
  <c r="R545" i="1"/>
  <c r="P545" i="1"/>
  <c r="N545" i="1"/>
  <c r="L545" i="1"/>
  <c r="H545" i="1"/>
  <c r="U545" i="1" s="1"/>
  <c r="W544" i="1"/>
  <c r="R544" i="1"/>
  <c r="P544" i="1"/>
  <c r="N544" i="1"/>
  <c r="L544" i="1"/>
  <c r="H544" i="1"/>
  <c r="W543" i="1"/>
  <c r="R543" i="1"/>
  <c r="P543" i="1"/>
  <c r="N543" i="1"/>
  <c r="L543" i="1"/>
  <c r="H543" i="1"/>
  <c r="V543" i="1" s="1"/>
  <c r="C543" i="1"/>
  <c r="C544" i="1" s="1"/>
  <c r="C545" i="1" s="1"/>
  <c r="C546" i="1" s="1"/>
  <c r="C547" i="1" s="1"/>
  <c r="C548" i="1" s="1"/>
  <c r="C549" i="1" s="1"/>
  <c r="C550" i="1" s="1"/>
  <c r="C551" i="1" s="1"/>
  <c r="W542" i="1"/>
  <c r="R542" i="1"/>
  <c r="P542" i="1"/>
  <c r="N542" i="1"/>
  <c r="L542" i="1"/>
  <c r="H542" i="1"/>
  <c r="V542" i="1" s="1"/>
  <c r="W541" i="1"/>
  <c r="R541" i="1"/>
  <c r="P541" i="1"/>
  <c r="N541" i="1"/>
  <c r="L541" i="1"/>
  <c r="H541" i="1"/>
  <c r="W540" i="1"/>
  <c r="R540" i="1"/>
  <c r="P540" i="1"/>
  <c r="N540" i="1"/>
  <c r="L540" i="1"/>
  <c r="H540" i="1"/>
  <c r="V540" i="1" s="1"/>
  <c r="W539" i="1"/>
  <c r="R539" i="1"/>
  <c r="P539" i="1"/>
  <c r="N539" i="1"/>
  <c r="L539" i="1"/>
  <c r="H539" i="1"/>
  <c r="V539" i="1" s="1"/>
  <c r="W538" i="1"/>
  <c r="R538" i="1"/>
  <c r="P538" i="1"/>
  <c r="N538" i="1"/>
  <c r="L538" i="1"/>
  <c r="H538" i="1"/>
  <c r="V538" i="1" s="1"/>
  <c r="W537" i="1"/>
  <c r="R537" i="1"/>
  <c r="P537" i="1"/>
  <c r="N537" i="1"/>
  <c r="T537" i="1" s="1"/>
  <c r="L537" i="1"/>
  <c r="H537" i="1"/>
  <c r="W536" i="1"/>
  <c r="R536" i="1"/>
  <c r="P536" i="1"/>
  <c r="N536" i="1"/>
  <c r="L536" i="1"/>
  <c r="H536" i="1"/>
  <c r="V536" i="1" s="1"/>
  <c r="W535" i="1"/>
  <c r="R535" i="1"/>
  <c r="P535" i="1"/>
  <c r="N535" i="1"/>
  <c r="T535" i="1" s="1"/>
  <c r="L535" i="1"/>
  <c r="H535" i="1"/>
  <c r="W534" i="1"/>
  <c r="R534" i="1"/>
  <c r="P534" i="1"/>
  <c r="N534" i="1"/>
  <c r="L534" i="1"/>
  <c r="H534" i="1"/>
  <c r="V534" i="1" s="1"/>
  <c r="C534" i="1"/>
  <c r="C535" i="1" s="1"/>
  <c r="C536" i="1" s="1"/>
  <c r="C537" i="1" s="1"/>
  <c r="C538" i="1" s="1"/>
  <c r="C539" i="1" s="1"/>
  <c r="C540" i="1" s="1"/>
  <c r="C541" i="1" s="1"/>
  <c r="W533" i="1"/>
  <c r="U533" i="1"/>
  <c r="R533" i="1"/>
  <c r="P533" i="1"/>
  <c r="N533" i="1"/>
  <c r="L533" i="1"/>
  <c r="H533" i="1"/>
  <c r="V533" i="1" s="1"/>
  <c r="C533" i="1"/>
  <c r="W532" i="1"/>
  <c r="R532" i="1"/>
  <c r="P532" i="1"/>
  <c r="N532" i="1"/>
  <c r="L532" i="1"/>
  <c r="H532" i="1"/>
  <c r="U532" i="1" s="1"/>
  <c r="W531" i="1"/>
  <c r="U531" i="1"/>
  <c r="R531" i="1"/>
  <c r="P531" i="1"/>
  <c r="N531" i="1"/>
  <c r="T531" i="1" s="1"/>
  <c r="L531" i="1"/>
  <c r="H531" i="1"/>
  <c r="V531" i="1" s="1"/>
  <c r="W530" i="1"/>
  <c r="R530" i="1"/>
  <c r="P530" i="1"/>
  <c r="N530" i="1"/>
  <c r="T530" i="1" s="1"/>
  <c r="L530" i="1"/>
  <c r="H530" i="1"/>
  <c r="W529" i="1"/>
  <c r="R529" i="1"/>
  <c r="P529" i="1"/>
  <c r="N529" i="1"/>
  <c r="T529" i="1" s="1"/>
  <c r="L529" i="1"/>
  <c r="H529" i="1"/>
  <c r="V529" i="1" s="1"/>
  <c r="W528" i="1"/>
  <c r="R528" i="1"/>
  <c r="P528" i="1"/>
  <c r="N528" i="1"/>
  <c r="T528" i="1" s="1"/>
  <c r="L528" i="1"/>
  <c r="H528" i="1"/>
  <c r="U528" i="1" s="1"/>
  <c r="W527" i="1"/>
  <c r="R527" i="1"/>
  <c r="P527" i="1"/>
  <c r="N527" i="1"/>
  <c r="L527" i="1"/>
  <c r="H527" i="1"/>
  <c r="U527" i="1" s="1"/>
  <c r="W526" i="1"/>
  <c r="V526" i="1"/>
  <c r="R526" i="1"/>
  <c r="P526" i="1"/>
  <c r="N526" i="1"/>
  <c r="T526" i="1" s="1"/>
  <c r="L526" i="1"/>
  <c r="H526" i="1"/>
  <c r="U526" i="1" s="1"/>
  <c r="W525" i="1"/>
  <c r="R525" i="1"/>
  <c r="P525" i="1"/>
  <c r="N525" i="1"/>
  <c r="T525" i="1" s="1"/>
  <c r="L525" i="1"/>
  <c r="H525" i="1"/>
  <c r="U525" i="1" s="1"/>
  <c r="W524" i="1"/>
  <c r="R524" i="1"/>
  <c r="P524" i="1"/>
  <c r="N524" i="1"/>
  <c r="T524" i="1" s="1"/>
  <c r="L524" i="1"/>
  <c r="H524" i="1"/>
  <c r="V524" i="1" s="1"/>
  <c r="W523" i="1"/>
  <c r="R523" i="1"/>
  <c r="P523" i="1"/>
  <c r="N523" i="1"/>
  <c r="T523" i="1" s="1"/>
  <c r="L523" i="1"/>
  <c r="H523" i="1"/>
  <c r="W522" i="1"/>
  <c r="R522" i="1"/>
  <c r="P522" i="1"/>
  <c r="N522" i="1"/>
  <c r="L522" i="1"/>
  <c r="H522" i="1"/>
  <c r="V522" i="1" s="1"/>
  <c r="W521" i="1"/>
  <c r="R521" i="1"/>
  <c r="P521" i="1"/>
  <c r="N521" i="1"/>
  <c r="T521" i="1" s="1"/>
  <c r="L521" i="1"/>
  <c r="H521" i="1"/>
  <c r="V521" i="1" s="1"/>
  <c r="W520" i="1"/>
  <c r="R520" i="1"/>
  <c r="P520" i="1"/>
  <c r="N520" i="1"/>
  <c r="L520" i="1"/>
  <c r="H520" i="1"/>
  <c r="W519" i="1"/>
  <c r="R519" i="1"/>
  <c r="P519" i="1"/>
  <c r="N519" i="1"/>
  <c r="T519" i="1" s="1"/>
  <c r="L519" i="1"/>
  <c r="H519" i="1"/>
  <c r="V519" i="1" s="1"/>
  <c r="W518" i="1"/>
  <c r="R518" i="1"/>
  <c r="P518" i="1"/>
  <c r="N518" i="1"/>
  <c r="T518" i="1" s="1"/>
  <c r="L518" i="1"/>
  <c r="H518" i="1"/>
  <c r="W517" i="1"/>
  <c r="R517" i="1"/>
  <c r="P517" i="1"/>
  <c r="N517" i="1"/>
  <c r="L517" i="1"/>
  <c r="H517" i="1"/>
  <c r="V517" i="1" s="1"/>
  <c r="W516" i="1"/>
  <c r="R516" i="1"/>
  <c r="P516" i="1"/>
  <c r="N516" i="1"/>
  <c r="L516" i="1"/>
  <c r="H516" i="1"/>
  <c r="V516" i="1" s="1"/>
  <c r="C516" i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W515" i="1"/>
  <c r="R515" i="1"/>
  <c r="P515" i="1"/>
  <c r="N515" i="1"/>
  <c r="L515" i="1"/>
  <c r="H515" i="1"/>
  <c r="W514" i="1"/>
  <c r="R514" i="1"/>
  <c r="P514" i="1"/>
  <c r="N514" i="1"/>
  <c r="L514" i="1"/>
  <c r="H514" i="1"/>
  <c r="U514" i="1" s="1"/>
  <c r="W513" i="1"/>
  <c r="R513" i="1"/>
  <c r="P513" i="1"/>
  <c r="N513" i="1"/>
  <c r="T513" i="1" s="1"/>
  <c r="L513" i="1"/>
  <c r="H513" i="1"/>
  <c r="V513" i="1" s="1"/>
  <c r="W512" i="1"/>
  <c r="R512" i="1"/>
  <c r="P512" i="1"/>
  <c r="N512" i="1"/>
  <c r="L512" i="1"/>
  <c r="H512" i="1"/>
  <c r="W511" i="1"/>
  <c r="R511" i="1"/>
  <c r="P511" i="1"/>
  <c r="N511" i="1"/>
  <c r="T511" i="1" s="1"/>
  <c r="L511" i="1"/>
  <c r="H511" i="1"/>
  <c r="V511" i="1" s="1"/>
  <c r="W510" i="1"/>
  <c r="R510" i="1"/>
  <c r="P510" i="1"/>
  <c r="N510" i="1"/>
  <c r="L510" i="1"/>
  <c r="H510" i="1"/>
  <c r="W509" i="1"/>
  <c r="R509" i="1"/>
  <c r="P509" i="1"/>
  <c r="N509" i="1"/>
  <c r="T509" i="1" s="1"/>
  <c r="L509" i="1"/>
  <c r="H509" i="1"/>
  <c r="W508" i="1"/>
  <c r="R508" i="1"/>
  <c r="P508" i="1"/>
  <c r="N508" i="1"/>
  <c r="T508" i="1" s="1"/>
  <c r="L508" i="1"/>
  <c r="H508" i="1"/>
  <c r="C508" i="1"/>
  <c r="C509" i="1" s="1"/>
  <c r="C510" i="1" s="1"/>
  <c r="C511" i="1" s="1"/>
  <c r="C512" i="1" s="1"/>
  <c r="C513" i="1" s="1"/>
  <c r="C514" i="1" s="1"/>
  <c r="W507" i="1"/>
  <c r="R507" i="1"/>
  <c r="P507" i="1"/>
  <c r="N507" i="1"/>
  <c r="L507" i="1"/>
  <c r="H507" i="1"/>
  <c r="W506" i="1"/>
  <c r="R506" i="1"/>
  <c r="P506" i="1"/>
  <c r="N506" i="1"/>
  <c r="T506" i="1" s="1"/>
  <c r="L506" i="1"/>
  <c r="H506" i="1"/>
  <c r="V506" i="1" s="1"/>
  <c r="W505" i="1"/>
  <c r="R505" i="1"/>
  <c r="P505" i="1"/>
  <c r="N505" i="1"/>
  <c r="T505" i="1" s="1"/>
  <c r="L505" i="1"/>
  <c r="H505" i="1"/>
  <c r="W504" i="1"/>
  <c r="V504" i="1"/>
  <c r="U504" i="1"/>
  <c r="R504" i="1"/>
  <c r="P504" i="1"/>
  <c r="N504" i="1"/>
  <c r="T504" i="1" s="1"/>
  <c r="L504" i="1"/>
  <c r="H504" i="1"/>
  <c r="W503" i="1"/>
  <c r="R503" i="1"/>
  <c r="P503" i="1"/>
  <c r="N503" i="1"/>
  <c r="T503" i="1" s="1"/>
  <c r="L503" i="1"/>
  <c r="H503" i="1"/>
  <c r="U503" i="1" s="1"/>
  <c r="W502" i="1"/>
  <c r="R502" i="1"/>
  <c r="P502" i="1"/>
  <c r="N502" i="1"/>
  <c r="T502" i="1" s="1"/>
  <c r="L502" i="1"/>
  <c r="H502" i="1"/>
  <c r="W501" i="1"/>
  <c r="R501" i="1"/>
  <c r="P501" i="1"/>
  <c r="N501" i="1"/>
  <c r="T501" i="1" s="1"/>
  <c r="L501" i="1"/>
  <c r="H501" i="1"/>
  <c r="W500" i="1"/>
  <c r="R500" i="1"/>
  <c r="P500" i="1"/>
  <c r="N500" i="1"/>
  <c r="T500" i="1" s="1"/>
  <c r="L500" i="1"/>
  <c r="H500" i="1"/>
  <c r="V500" i="1" s="1"/>
  <c r="W499" i="1"/>
  <c r="R499" i="1"/>
  <c r="P499" i="1"/>
  <c r="N499" i="1"/>
  <c r="L499" i="1"/>
  <c r="H499" i="1"/>
  <c r="W498" i="1"/>
  <c r="R498" i="1"/>
  <c r="P498" i="1"/>
  <c r="N498" i="1"/>
  <c r="L498" i="1"/>
  <c r="H498" i="1"/>
  <c r="U498" i="1" s="1"/>
  <c r="W497" i="1"/>
  <c r="R497" i="1"/>
  <c r="P497" i="1"/>
  <c r="N497" i="1"/>
  <c r="L497" i="1"/>
  <c r="H497" i="1"/>
  <c r="W496" i="1"/>
  <c r="R496" i="1"/>
  <c r="P496" i="1"/>
  <c r="T496" i="1" s="1"/>
  <c r="N496" i="1"/>
  <c r="L496" i="1"/>
  <c r="H496" i="1"/>
  <c r="W495" i="1"/>
  <c r="R495" i="1"/>
  <c r="P495" i="1"/>
  <c r="N495" i="1"/>
  <c r="L495" i="1"/>
  <c r="H495" i="1"/>
  <c r="V495" i="1" s="1"/>
  <c r="W494" i="1"/>
  <c r="R494" i="1"/>
  <c r="P494" i="1"/>
  <c r="N494" i="1"/>
  <c r="L494" i="1"/>
  <c r="H494" i="1"/>
  <c r="C494" i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W493" i="1"/>
  <c r="R493" i="1"/>
  <c r="P493" i="1"/>
  <c r="N493" i="1"/>
  <c r="L493" i="1"/>
  <c r="H493" i="1"/>
  <c r="W492" i="1"/>
  <c r="R492" i="1"/>
  <c r="P492" i="1"/>
  <c r="N492" i="1"/>
  <c r="T492" i="1" s="1"/>
  <c r="L492" i="1"/>
  <c r="H492" i="1"/>
  <c r="V492" i="1" s="1"/>
  <c r="W491" i="1"/>
  <c r="V491" i="1"/>
  <c r="R491" i="1"/>
  <c r="P491" i="1"/>
  <c r="N491" i="1"/>
  <c r="L491" i="1"/>
  <c r="H491" i="1"/>
  <c r="U491" i="1" s="1"/>
  <c r="W490" i="1"/>
  <c r="R490" i="1"/>
  <c r="P490" i="1"/>
  <c r="N490" i="1"/>
  <c r="T490" i="1" s="1"/>
  <c r="L490" i="1"/>
  <c r="H490" i="1"/>
  <c r="W489" i="1"/>
  <c r="R489" i="1"/>
  <c r="P489" i="1"/>
  <c r="N489" i="1"/>
  <c r="L489" i="1"/>
  <c r="H489" i="1"/>
  <c r="V489" i="1" s="1"/>
  <c r="W488" i="1"/>
  <c r="R488" i="1"/>
  <c r="P488" i="1"/>
  <c r="N488" i="1"/>
  <c r="L488" i="1"/>
  <c r="H488" i="1"/>
  <c r="W487" i="1"/>
  <c r="R487" i="1"/>
  <c r="P487" i="1"/>
  <c r="N487" i="1"/>
  <c r="T487" i="1" s="1"/>
  <c r="L487" i="1"/>
  <c r="H487" i="1"/>
  <c r="U487" i="1" s="1"/>
  <c r="W486" i="1"/>
  <c r="R486" i="1"/>
  <c r="P486" i="1"/>
  <c r="N486" i="1"/>
  <c r="T486" i="1" s="1"/>
  <c r="L486" i="1"/>
  <c r="H486" i="1"/>
  <c r="V486" i="1" s="1"/>
  <c r="C486" i="1"/>
  <c r="C487" i="1" s="1"/>
  <c r="C488" i="1" s="1"/>
  <c r="C489" i="1" s="1"/>
  <c r="C490" i="1" s="1"/>
  <c r="C491" i="1" s="1"/>
  <c r="C492" i="1" s="1"/>
  <c r="W485" i="1"/>
  <c r="R485" i="1"/>
  <c r="P485" i="1"/>
  <c r="N485" i="1"/>
  <c r="L485" i="1"/>
  <c r="H485" i="1"/>
  <c r="W484" i="1"/>
  <c r="R484" i="1"/>
  <c r="P484" i="1"/>
  <c r="N484" i="1"/>
  <c r="L484" i="1"/>
  <c r="H484" i="1"/>
  <c r="V484" i="1" s="1"/>
  <c r="W483" i="1"/>
  <c r="R483" i="1"/>
  <c r="P483" i="1"/>
  <c r="N483" i="1"/>
  <c r="L483" i="1"/>
  <c r="H483" i="1"/>
  <c r="W482" i="1"/>
  <c r="R482" i="1"/>
  <c r="P482" i="1"/>
  <c r="N482" i="1"/>
  <c r="L482" i="1"/>
  <c r="H482" i="1"/>
  <c r="V482" i="1" s="1"/>
  <c r="W481" i="1"/>
  <c r="R481" i="1"/>
  <c r="P481" i="1"/>
  <c r="N481" i="1"/>
  <c r="T481" i="1" s="1"/>
  <c r="L481" i="1"/>
  <c r="H481" i="1"/>
  <c r="V481" i="1" s="1"/>
  <c r="W480" i="1"/>
  <c r="R480" i="1"/>
  <c r="P480" i="1"/>
  <c r="N480" i="1"/>
  <c r="L480" i="1"/>
  <c r="H480" i="1"/>
  <c r="V480" i="1" s="1"/>
  <c r="W479" i="1"/>
  <c r="R479" i="1"/>
  <c r="P479" i="1"/>
  <c r="N479" i="1"/>
  <c r="L479" i="1"/>
  <c r="H479" i="1"/>
  <c r="W478" i="1"/>
  <c r="R478" i="1"/>
  <c r="P478" i="1"/>
  <c r="N478" i="1"/>
  <c r="L478" i="1"/>
  <c r="H478" i="1"/>
  <c r="V478" i="1" s="1"/>
  <c r="C478" i="1"/>
  <c r="C479" i="1" s="1"/>
  <c r="C480" i="1" s="1"/>
  <c r="C481" i="1" s="1"/>
  <c r="C482" i="1" s="1"/>
  <c r="C483" i="1" s="1"/>
  <c r="C484" i="1" s="1"/>
  <c r="W477" i="1"/>
  <c r="R477" i="1"/>
  <c r="P477" i="1"/>
  <c r="N477" i="1"/>
  <c r="L477" i="1"/>
  <c r="H477" i="1"/>
  <c r="W476" i="1"/>
  <c r="R476" i="1"/>
  <c r="P476" i="1"/>
  <c r="N476" i="1"/>
  <c r="L476" i="1"/>
  <c r="H476" i="1"/>
  <c r="W475" i="1"/>
  <c r="R475" i="1"/>
  <c r="P475" i="1"/>
  <c r="N475" i="1"/>
  <c r="L475" i="1"/>
  <c r="H475" i="1"/>
  <c r="W474" i="1"/>
  <c r="R474" i="1"/>
  <c r="P474" i="1"/>
  <c r="N474" i="1"/>
  <c r="L474" i="1"/>
  <c r="H474" i="1"/>
  <c r="V474" i="1" s="1"/>
  <c r="W473" i="1"/>
  <c r="R473" i="1"/>
  <c r="P473" i="1"/>
  <c r="N473" i="1"/>
  <c r="L473" i="1"/>
  <c r="H473" i="1"/>
  <c r="U473" i="1" s="1"/>
  <c r="W472" i="1"/>
  <c r="U472" i="1"/>
  <c r="R472" i="1"/>
  <c r="P472" i="1"/>
  <c r="N472" i="1"/>
  <c r="L472" i="1"/>
  <c r="H472" i="1"/>
  <c r="V472" i="1" s="1"/>
  <c r="W471" i="1"/>
  <c r="R471" i="1"/>
  <c r="P471" i="1"/>
  <c r="N471" i="1"/>
  <c r="T471" i="1" s="1"/>
  <c r="L471" i="1"/>
  <c r="H471" i="1"/>
  <c r="W470" i="1"/>
  <c r="R470" i="1"/>
  <c r="P470" i="1"/>
  <c r="N470" i="1"/>
  <c r="L470" i="1"/>
  <c r="H470" i="1"/>
  <c r="V470" i="1" s="1"/>
  <c r="W469" i="1"/>
  <c r="R469" i="1"/>
  <c r="P469" i="1"/>
  <c r="N469" i="1"/>
  <c r="L469" i="1"/>
  <c r="H469" i="1"/>
  <c r="V469" i="1" s="1"/>
  <c r="C469" i="1"/>
  <c r="C470" i="1" s="1"/>
  <c r="C471" i="1" s="1"/>
  <c r="C472" i="1" s="1"/>
  <c r="C473" i="1" s="1"/>
  <c r="C474" i="1" s="1"/>
  <c r="C475" i="1" s="1"/>
  <c r="C476" i="1" s="1"/>
  <c r="W468" i="1"/>
  <c r="R468" i="1"/>
  <c r="P468" i="1"/>
  <c r="N468" i="1"/>
  <c r="L468" i="1"/>
  <c r="H468" i="1"/>
  <c r="W467" i="1"/>
  <c r="R467" i="1"/>
  <c r="P467" i="1"/>
  <c r="N467" i="1"/>
  <c r="L467" i="1"/>
  <c r="H467" i="1"/>
  <c r="U467" i="1" s="1"/>
  <c r="W466" i="1"/>
  <c r="R466" i="1"/>
  <c r="P466" i="1"/>
  <c r="N466" i="1"/>
  <c r="L466" i="1"/>
  <c r="H466" i="1"/>
  <c r="W465" i="1"/>
  <c r="R465" i="1"/>
  <c r="P465" i="1"/>
  <c r="N465" i="1"/>
  <c r="L465" i="1"/>
  <c r="H465" i="1"/>
  <c r="W464" i="1"/>
  <c r="R464" i="1"/>
  <c r="P464" i="1"/>
  <c r="N464" i="1"/>
  <c r="L464" i="1"/>
  <c r="H464" i="1"/>
  <c r="V464" i="1" s="1"/>
  <c r="W463" i="1"/>
  <c r="R463" i="1"/>
  <c r="P463" i="1"/>
  <c r="N463" i="1"/>
  <c r="L463" i="1"/>
  <c r="H463" i="1"/>
  <c r="W462" i="1"/>
  <c r="R462" i="1"/>
  <c r="P462" i="1"/>
  <c r="N462" i="1"/>
  <c r="L462" i="1"/>
  <c r="H462" i="1"/>
  <c r="C462" i="1"/>
  <c r="C463" i="1" s="1"/>
  <c r="C464" i="1" s="1"/>
  <c r="C465" i="1" s="1"/>
  <c r="C466" i="1" s="1"/>
  <c r="C467" i="1" s="1"/>
  <c r="W461" i="1"/>
  <c r="R461" i="1"/>
  <c r="P461" i="1"/>
  <c r="N461" i="1"/>
  <c r="L461" i="1"/>
  <c r="H461" i="1"/>
  <c r="V461" i="1" s="1"/>
  <c r="W460" i="1"/>
  <c r="R460" i="1"/>
  <c r="P460" i="1"/>
  <c r="N460" i="1"/>
  <c r="L460" i="1"/>
  <c r="H460" i="1"/>
  <c r="V460" i="1" s="1"/>
  <c r="W459" i="1"/>
  <c r="R459" i="1"/>
  <c r="P459" i="1"/>
  <c r="N459" i="1"/>
  <c r="L459" i="1"/>
  <c r="H459" i="1"/>
  <c r="W458" i="1"/>
  <c r="R458" i="1"/>
  <c r="P458" i="1"/>
  <c r="N458" i="1"/>
  <c r="L458" i="1"/>
  <c r="H458" i="1"/>
  <c r="W457" i="1"/>
  <c r="R457" i="1"/>
  <c r="P457" i="1"/>
  <c r="N457" i="1"/>
  <c r="L457" i="1"/>
  <c r="H457" i="1"/>
  <c r="U457" i="1" s="1"/>
  <c r="W456" i="1"/>
  <c r="R456" i="1"/>
  <c r="P456" i="1"/>
  <c r="N456" i="1"/>
  <c r="L456" i="1"/>
  <c r="H456" i="1"/>
  <c r="V456" i="1" s="1"/>
  <c r="W455" i="1"/>
  <c r="R455" i="1"/>
  <c r="P455" i="1"/>
  <c r="N455" i="1"/>
  <c r="L455" i="1"/>
  <c r="H455" i="1"/>
  <c r="W454" i="1"/>
  <c r="R454" i="1"/>
  <c r="P454" i="1"/>
  <c r="N454" i="1"/>
  <c r="L454" i="1"/>
  <c r="H454" i="1"/>
  <c r="U454" i="1" s="1"/>
  <c r="W453" i="1"/>
  <c r="R453" i="1"/>
  <c r="P453" i="1"/>
  <c r="N453" i="1"/>
  <c r="L453" i="1"/>
  <c r="H453" i="1"/>
  <c r="C453" i="1"/>
  <c r="C454" i="1" s="1"/>
  <c r="C455" i="1" s="1"/>
  <c r="C456" i="1" s="1"/>
  <c r="C457" i="1" s="1"/>
  <c r="C458" i="1" s="1"/>
  <c r="C459" i="1" s="1"/>
  <c r="C460" i="1" s="1"/>
  <c r="W452" i="1"/>
  <c r="R452" i="1"/>
  <c r="P452" i="1"/>
  <c r="N452" i="1"/>
  <c r="T452" i="1" s="1"/>
  <c r="L452" i="1"/>
  <c r="H452" i="1"/>
  <c r="U452" i="1" s="1"/>
  <c r="W451" i="1"/>
  <c r="R451" i="1"/>
  <c r="P451" i="1"/>
  <c r="N451" i="1"/>
  <c r="L451" i="1"/>
  <c r="H451" i="1"/>
  <c r="W450" i="1"/>
  <c r="R450" i="1"/>
  <c r="P450" i="1"/>
  <c r="N450" i="1"/>
  <c r="L450" i="1"/>
  <c r="H450" i="1"/>
  <c r="W449" i="1"/>
  <c r="R449" i="1"/>
  <c r="P449" i="1"/>
  <c r="N449" i="1"/>
  <c r="T449" i="1" s="1"/>
  <c r="L449" i="1"/>
  <c r="H449" i="1"/>
  <c r="W448" i="1"/>
  <c r="R448" i="1"/>
  <c r="P448" i="1"/>
  <c r="N448" i="1"/>
  <c r="T448" i="1" s="1"/>
  <c r="L448" i="1"/>
  <c r="H448" i="1"/>
  <c r="W447" i="1"/>
  <c r="R447" i="1"/>
  <c r="P447" i="1"/>
  <c r="N447" i="1"/>
  <c r="L447" i="1"/>
  <c r="H447" i="1"/>
  <c r="V447" i="1" s="1"/>
  <c r="W446" i="1"/>
  <c r="R446" i="1"/>
  <c r="P446" i="1"/>
  <c r="N446" i="1"/>
  <c r="L446" i="1"/>
  <c r="H446" i="1"/>
  <c r="W445" i="1"/>
  <c r="R445" i="1"/>
  <c r="P445" i="1"/>
  <c r="N445" i="1"/>
  <c r="T445" i="1" s="1"/>
  <c r="L445" i="1"/>
  <c r="H445" i="1"/>
  <c r="W444" i="1"/>
  <c r="R444" i="1"/>
  <c r="P444" i="1"/>
  <c r="N444" i="1"/>
  <c r="L444" i="1"/>
  <c r="H444" i="1"/>
  <c r="W443" i="1"/>
  <c r="R443" i="1"/>
  <c r="P443" i="1"/>
  <c r="N443" i="1"/>
  <c r="L443" i="1"/>
  <c r="H443" i="1"/>
  <c r="U443" i="1" s="1"/>
  <c r="C443" i="1"/>
  <c r="C444" i="1" s="1"/>
  <c r="C445" i="1" s="1"/>
  <c r="C446" i="1" s="1"/>
  <c r="C447" i="1" s="1"/>
  <c r="C448" i="1" s="1"/>
  <c r="C449" i="1" s="1"/>
  <c r="C450" i="1" s="1"/>
  <c r="C451" i="1" s="1"/>
  <c r="W442" i="1"/>
  <c r="R442" i="1"/>
  <c r="P442" i="1"/>
  <c r="N442" i="1"/>
  <c r="L442" i="1"/>
  <c r="H442" i="1"/>
  <c r="W441" i="1"/>
  <c r="R441" i="1"/>
  <c r="P441" i="1"/>
  <c r="N441" i="1"/>
  <c r="L441" i="1"/>
  <c r="H441" i="1"/>
  <c r="V441" i="1" s="1"/>
  <c r="W440" i="1"/>
  <c r="R440" i="1"/>
  <c r="P440" i="1"/>
  <c r="N440" i="1"/>
  <c r="L440" i="1"/>
  <c r="H440" i="1"/>
  <c r="V440" i="1" s="1"/>
  <c r="W439" i="1"/>
  <c r="R439" i="1"/>
  <c r="P439" i="1"/>
  <c r="N439" i="1"/>
  <c r="L439" i="1"/>
  <c r="H439" i="1"/>
  <c r="V439" i="1" s="1"/>
  <c r="W438" i="1"/>
  <c r="R438" i="1"/>
  <c r="P438" i="1"/>
  <c r="N438" i="1"/>
  <c r="L438" i="1"/>
  <c r="H438" i="1"/>
  <c r="U438" i="1" s="1"/>
  <c r="W437" i="1"/>
  <c r="U437" i="1"/>
  <c r="R437" i="1"/>
  <c r="P437" i="1"/>
  <c r="N437" i="1"/>
  <c r="L437" i="1"/>
  <c r="H437" i="1"/>
  <c r="V437" i="1" s="1"/>
  <c r="W436" i="1"/>
  <c r="R436" i="1"/>
  <c r="P436" i="1"/>
  <c r="N436" i="1"/>
  <c r="T436" i="1" s="1"/>
  <c r="L436" i="1"/>
  <c r="H436" i="1"/>
  <c r="U436" i="1" s="1"/>
  <c r="W435" i="1"/>
  <c r="R435" i="1"/>
  <c r="P435" i="1"/>
  <c r="N435" i="1"/>
  <c r="L435" i="1"/>
  <c r="H435" i="1"/>
  <c r="V435" i="1" s="1"/>
  <c r="W434" i="1"/>
  <c r="R434" i="1"/>
  <c r="P434" i="1"/>
  <c r="N434" i="1"/>
  <c r="T434" i="1" s="1"/>
  <c r="L434" i="1"/>
  <c r="H434" i="1"/>
  <c r="W433" i="1"/>
  <c r="R433" i="1"/>
  <c r="P433" i="1"/>
  <c r="N433" i="1"/>
  <c r="L433" i="1"/>
  <c r="H433" i="1"/>
  <c r="V433" i="1" s="1"/>
  <c r="W432" i="1"/>
  <c r="R432" i="1"/>
  <c r="P432" i="1"/>
  <c r="N432" i="1"/>
  <c r="L432" i="1"/>
  <c r="H432" i="1"/>
  <c r="U432" i="1" s="1"/>
  <c r="W431" i="1"/>
  <c r="R431" i="1"/>
  <c r="P431" i="1"/>
  <c r="N431" i="1"/>
  <c r="L431" i="1"/>
  <c r="H431" i="1"/>
  <c r="V431" i="1" s="1"/>
  <c r="W430" i="1"/>
  <c r="R430" i="1"/>
  <c r="P430" i="1"/>
  <c r="N430" i="1"/>
  <c r="L430" i="1"/>
  <c r="H430" i="1"/>
  <c r="U430" i="1" s="1"/>
  <c r="W429" i="1"/>
  <c r="R429" i="1"/>
  <c r="P429" i="1"/>
  <c r="N429" i="1"/>
  <c r="L429" i="1"/>
  <c r="H429" i="1"/>
  <c r="V429" i="1" s="1"/>
  <c r="W428" i="1"/>
  <c r="R428" i="1"/>
  <c r="P428" i="1"/>
  <c r="N428" i="1"/>
  <c r="L428" i="1"/>
  <c r="H428" i="1"/>
  <c r="C428" i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W427" i="1"/>
  <c r="R427" i="1"/>
  <c r="P427" i="1"/>
  <c r="N427" i="1"/>
  <c r="L427" i="1"/>
  <c r="H427" i="1"/>
  <c r="W426" i="1"/>
  <c r="R426" i="1"/>
  <c r="P426" i="1"/>
  <c r="N426" i="1"/>
  <c r="T426" i="1" s="1"/>
  <c r="L426" i="1"/>
  <c r="H426" i="1"/>
  <c r="W425" i="1"/>
  <c r="R425" i="1"/>
  <c r="P425" i="1"/>
  <c r="N425" i="1"/>
  <c r="L425" i="1"/>
  <c r="H425" i="1"/>
  <c r="W424" i="1"/>
  <c r="R424" i="1"/>
  <c r="P424" i="1"/>
  <c r="N424" i="1"/>
  <c r="L424" i="1"/>
  <c r="H424" i="1"/>
  <c r="U424" i="1" s="1"/>
  <c r="W423" i="1"/>
  <c r="R423" i="1"/>
  <c r="P423" i="1"/>
  <c r="N423" i="1"/>
  <c r="L423" i="1"/>
  <c r="H423" i="1"/>
  <c r="V423" i="1" s="1"/>
  <c r="W422" i="1"/>
  <c r="R422" i="1"/>
  <c r="P422" i="1"/>
  <c r="N422" i="1"/>
  <c r="L422" i="1"/>
  <c r="H422" i="1"/>
  <c r="U422" i="1" s="1"/>
  <c r="W421" i="1"/>
  <c r="R421" i="1"/>
  <c r="P421" i="1"/>
  <c r="N421" i="1"/>
  <c r="L421" i="1"/>
  <c r="H421" i="1"/>
  <c r="V421" i="1" s="1"/>
  <c r="W420" i="1"/>
  <c r="R420" i="1"/>
  <c r="P420" i="1"/>
  <c r="N420" i="1"/>
  <c r="L420" i="1"/>
  <c r="H420" i="1"/>
  <c r="W419" i="1"/>
  <c r="R419" i="1"/>
  <c r="P419" i="1"/>
  <c r="N419" i="1"/>
  <c r="L419" i="1"/>
  <c r="H419" i="1"/>
  <c r="V419" i="1" s="1"/>
  <c r="W418" i="1"/>
  <c r="R418" i="1"/>
  <c r="P418" i="1"/>
  <c r="N418" i="1"/>
  <c r="L418" i="1"/>
  <c r="H418" i="1"/>
  <c r="W417" i="1"/>
  <c r="R417" i="1"/>
  <c r="P417" i="1"/>
  <c r="N417" i="1"/>
  <c r="L417" i="1"/>
  <c r="H417" i="1"/>
  <c r="U417" i="1" s="1"/>
  <c r="W416" i="1"/>
  <c r="R416" i="1"/>
  <c r="P416" i="1"/>
  <c r="N416" i="1"/>
  <c r="L416" i="1"/>
  <c r="H416" i="1"/>
  <c r="V416" i="1" s="1"/>
  <c r="W415" i="1"/>
  <c r="R415" i="1"/>
  <c r="P415" i="1"/>
  <c r="N415" i="1"/>
  <c r="L415" i="1"/>
  <c r="H415" i="1"/>
  <c r="U415" i="1" s="1"/>
  <c r="W414" i="1"/>
  <c r="R414" i="1"/>
  <c r="P414" i="1"/>
  <c r="N414" i="1"/>
  <c r="L414" i="1"/>
  <c r="H414" i="1"/>
  <c r="U414" i="1" s="1"/>
  <c r="W413" i="1"/>
  <c r="R413" i="1"/>
  <c r="P413" i="1"/>
  <c r="N413" i="1"/>
  <c r="L413" i="1"/>
  <c r="H413" i="1"/>
  <c r="W412" i="1"/>
  <c r="R412" i="1"/>
  <c r="P412" i="1"/>
  <c r="N412" i="1"/>
  <c r="L412" i="1"/>
  <c r="H412" i="1"/>
  <c r="U412" i="1" s="1"/>
  <c r="W411" i="1"/>
  <c r="R411" i="1"/>
  <c r="P411" i="1"/>
  <c r="N411" i="1"/>
  <c r="L411" i="1"/>
  <c r="H411" i="1"/>
  <c r="W410" i="1"/>
  <c r="R410" i="1"/>
  <c r="P410" i="1"/>
  <c r="N410" i="1"/>
  <c r="L410" i="1"/>
  <c r="H410" i="1"/>
  <c r="W409" i="1"/>
  <c r="R409" i="1"/>
  <c r="P409" i="1"/>
  <c r="N409" i="1"/>
  <c r="L409" i="1"/>
  <c r="H409" i="1"/>
  <c r="W408" i="1"/>
  <c r="R408" i="1"/>
  <c r="P408" i="1"/>
  <c r="N408" i="1"/>
  <c r="L408" i="1"/>
  <c r="H408" i="1"/>
  <c r="U408" i="1" s="1"/>
  <c r="W407" i="1"/>
  <c r="R407" i="1"/>
  <c r="P407" i="1"/>
  <c r="N407" i="1"/>
  <c r="L407" i="1"/>
  <c r="H407" i="1"/>
  <c r="V407" i="1" s="1"/>
  <c r="C407" i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W406" i="1"/>
  <c r="R406" i="1"/>
  <c r="P406" i="1"/>
  <c r="N406" i="1"/>
  <c r="L406" i="1"/>
  <c r="H406" i="1"/>
  <c r="U406" i="1" s="1"/>
  <c r="C406" i="1"/>
  <c r="W405" i="1"/>
  <c r="R405" i="1"/>
  <c r="P405" i="1"/>
  <c r="N405" i="1"/>
  <c r="L405" i="1"/>
  <c r="H405" i="1"/>
  <c r="V405" i="1" s="1"/>
  <c r="W404" i="1"/>
  <c r="R404" i="1"/>
  <c r="P404" i="1"/>
  <c r="N404" i="1"/>
  <c r="T404" i="1" s="1"/>
  <c r="L404" i="1"/>
  <c r="H404" i="1"/>
  <c r="V404" i="1" s="1"/>
  <c r="W403" i="1"/>
  <c r="R403" i="1"/>
  <c r="P403" i="1"/>
  <c r="N403" i="1"/>
  <c r="L403" i="1"/>
  <c r="H403" i="1"/>
  <c r="U403" i="1" s="1"/>
  <c r="W402" i="1"/>
  <c r="R402" i="1"/>
  <c r="P402" i="1"/>
  <c r="N402" i="1"/>
  <c r="L402" i="1"/>
  <c r="H402" i="1"/>
  <c r="W401" i="1"/>
  <c r="R401" i="1"/>
  <c r="P401" i="1"/>
  <c r="N401" i="1"/>
  <c r="L401" i="1"/>
  <c r="H401" i="1"/>
  <c r="U401" i="1" s="1"/>
  <c r="W400" i="1"/>
  <c r="R400" i="1"/>
  <c r="P400" i="1"/>
  <c r="N400" i="1"/>
  <c r="L400" i="1"/>
  <c r="H400" i="1"/>
  <c r="C400" i="1"/>
  <c r="C401" i="1" s="1"/>
  <c r="C402" i="1" s="1"/>
  <c r="C403" i="1" s="1"/>
  <c r="C404" i="1" s="1"/>
  <c r="W399" i="1"/>
  <c r="R399" i="1"/>
  <c r="P399" i="1"/>
  <c r="N399" i="1"/>
  <c r="L399" i="1"/>
  <c r="H399" i="1"/>
  <c r="U399" i="1" s="1"/>
  <c r="W398" i="1"/>
  <c r="R398" i="1"/>
  <c r="P398" i="1"/>
  <c r="N398" i="1"/>
  <c r="L398" i="1"/>
  <c r="H398" i="1"/>
  <c r="W397" i="1"/>
  <c r="R397" i="1"/>
  <c r="P397" i="1"/>
  <c r="N397" i="1"/>
  <c r="L397" i="1"/>
  <c r="H397" i="1"/>
  <c r="V397" i="1" s="1"/>
  <c r="W396" i="1"/>
  <c r="R396" i="1"/>
  <c r="P396" i="1"/>
  <c r="N396" i="1"/>
  <c r="L396" i="1"/>
  <c r="H396" i="1"/>
  <c r="U396" i="1" s="1"/>
  <c r="W395" i="1"/>
  <c r="R395" i="1"/>
  <c r="P395" i="1"/>
  <c r="N395" i="1"/>
  <c r="L395" i="1"/>
  <c r="H395" i="1"/>
  <c r="V395" i="1" s="1"/>
  <c r="W394" i="1"/>
  <c r="R394" i="1"/>
  <c r="P394" i="1"/>
  <c r="N394" i="1"/>
  <c r="T394" i="1" s="1"/>
  <c r="L394" i="1"/>
  <c r="H394" i="1"/>
  <c r="U394" i="1" s="1"/>
  <c r="W393" i="1"/>
  <c r="R393" i="1"/>
  <c r="P393" i="1"/>
  <c r="N393" i="1"/>
  <c r="L393" i="1"/>
  <c r="H393" i="1"/>
  <c r="V393" i="1" s="1"/>
  <c r="C393" i="1"/>
  <c r="C394" i="1" s="1"/>
  <c r="C395" i="1" s="1"/>
  <c r="C396" i="1" s="1"/>
  <c r="C397" i="1" s="1"/>
  <c r="C398" i="1" s="1"/>
  <c r="W392" i="1"/>
  <c r="R392" i="1"/>
  <c r="P392" i="1"/>
  <c r="N392" i="1"/>
  <c r="L392" i="1"/>
  <c r="H392" i="1"/>
  <c r="W391" i="1"/>
  <c r="R391" i="1"/>
  <c r="P391" i="1"/>
  <c r="N391" i="1"/>
  <c r="T391" i="1" s="1"/>
  <c r="L391" i="1"/>
  <c r="H391" i="1"/>
  <c r="V391" i="1" s="1"/>
  <c r="W390" i="1"/>
  <c r="R390" i="1"/>
  <c r="P390" i="1"/>
  <c r="N390" i="1"/>
  <c r="T390" i="1" s="1"/>
  <c r="L390" i="1"/>
  <c r="H390" i="1"/>
  <c r="V390" i="1" s="1"/>
  <c r="W389" i="1"/>
  <c r="R389" i="1"/>
  <c r="P389" i="1"/>
  <c r="N389" i="1"/>
  <c r="L389" i="1"/>
  <c r="H389" i="1"/>
  <c r="W388" i="1"/>
  <c r="R388" i="1"/>
  <c r="P388" i="1"/>
  <c r="N388" i="1"/>
  <c r="L388" i="1"/>
  <c r="H388" i="1"/>
  <c r="V388" i="1" s="1"/>
  <c r="W387" i="1"/>
  <c r="R387" i="1"/>
  <c r="P387" i="1"/>
  <c r="N387" i="1"/>
  <c r="T387" i="1" s="1"/>
  <c r="L387" i="1"/>
  <c r="H387" i="1"/>
  <c r="U387" i="1" s="1"/>
  <c r="W386" i="1"/>
  <c r="R386" i="1"/>
  <c r="P386" i="1"/>
  <c r="N386" i="1"/>
  <c r="L386" i="1"/>
  <c r="H386" i="1"/>
  <c r="V386" i="1" s="1"/>
  <c r="W385" i="1"/>
  <c r="R385" i="1"/>
  <c r="P385" i="1"/>
  <c r="N385" i="1"/>
  <c r="L385" i="1"/>
  <c r="H385" i="1"/>
  <c r="W384" i="1"/>
  <c r="R384" i="1"/>
  <c r="P384" i="1"/>
  <c r="N384" i="1"/>
  <c r="L384" i="1"/>
  <c r="H384" i="1"/>
  <c r="V384" i="1" s="1"/>
  <c r="W383" i="1"/>
  <c r="R383" i="1"/>
  <c r="P383" i="1"/>
  <c r="N383" i="1"/>
  <c r="T383" i="1" s="1"/>
  <c r="L383" i="1"/>
  <c r="H383" i="1"/>
  <c r="V383" i="1" s="1"/>
  <c r="W382" i="1"/>
  <c r="R382" i="1"/>
  <c r="P382" i="1"/>
  <c r="N382" i="1"/>
  <c r="L382" i="1"/>
  <c r="H382" i="1"/>
  <c r="U382" i="1" s="1"/>
  <c r="W381" i="1"/>
  <c r="R381" i="1"/>
  <c r="P381" i="1"/>
  <c r="N381" i="1"/>
  <c r="L381" i="1"/>
  <c r="H381" i="1"/>
  <c r="U381" i="1" s="1"/>
  <c r="W380" i="1"/>
  <c r="R380" i="1"/>
  <c r="P380" i="1"/>
  <c r="N380" i="1"/>
  <c r="L380" i="1"/>
  <c r="H380" i="1"/>
  <c r="V380" i="1" s="1"/>
  <c r="W379" i="1"/>
  <c r="R379" i="1"/>
  <c r="P379" i="1"/>
  <c r="N379" i="1"/>
  <c r="T379" i="1" s="1"/>
  <c r="L379" i="1"/>
  <c r="H379" i="1"/>
  <c r="V379" i="1" s="1"/>
  <c r="W378" i="1"/>
  <c r="R378" i="1"/>
  <c r="P378" i="1"/>
  <c r="N378" i="1"/>
  <c r="L378" i="1"/>
  <c r="H378" i="1"/>
  <c r="U378" i="1" s="1"/>
  <c r="C378" i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W377" i="1"/>
  <c r="R377" i="1"/>
  <c r="P377" i="1"/>
  <c r="N377" i="1"/>
  <c r="L377" i="1"/>
  <c r="H377" i="1"/>
  <c r="V377" i="1" s="1"/>
  <c r="W376" i="1"/>
  <c r="R376" i="1"/>
  <c r="P376" i="1"/>
  <c r="N376" i="1"/>
  <c r="L376" i="1"/>
  <c r="H376" i="1"/>
  <c r="U376" i="1" s="1"/>
  <c r="W375" i="1"/>
  <c r="R375" i="1"/>
  <c r="P375" i="1"/>
  <c r="N375" i="1"/>
  <c r="L375" i="1"/>
  <c r="H375" i="1"/>
  <c r="V375" i="1" s="1"/>
  <c r="W374" i="1"/>
  <c r="R374" i="1"/>
  <c r="P374" i="1"/>
  <c r="N374" i="1"/>
  <c r="L374" i="1"/>
  <c r="H374" i="1"/>
  <c r="V374" i="1" s="1"/>
  <c r="W373" i="1"/>
  <c r="R373" i="1"/>
  <c r="P373" i="1"/>
  <c r="N373" i="1"/>
  <c r="L373" i="1"/>
  <c r="H373" i="1"/>
  <c r="V373" i="1" s="1"/>
  <c r="W372" i="1"/>
  <c r="R372" i="1"/>
  <c r="P372" i="1"/>
  <c r="N372" i="1"/>
  <c r="L372" i="1"/>
  <c r="H372" i="1"/>
  <c r="V372" i="1" s="1"/>
  <c r="W371" i="1"/>
  <c r="R371" i="1"/>
  <c r="P371" i="1"/>
  <c r="N371" i="1"/>
  <c r="L371" i="1"/>
  <c r="H371" i="1"/>
  <c r="U371" i="1" s="1"/>
  <c r="W370" i="1"/>
  <c r="R370" i="1"/>
  <c r="P370" i="1"/>
  <c r="N370" i="1"/>
  <c r="L370" i="1"/>
  <c r="H370" i="1"/>
  <c r="V370" i="1" s="1"/>
  <c r="W369" i="1"/>
  <c r="R369" i="1"/>
  <c r="P369" i="1"/>
  <c r="N369" i="1"/>
  <c r="L369" i="1"/>
  <c r="H369" i="1"/>
  <c r="V369" i="1" s="1"/>
  <c r="C369" i="1"/>
  <c r="C370" i="1" s="1"/>
  <c r="C371" i="1" s="1"/>
  <c r="C372" i="1" s="1"/>
  <c r="C373" i="1" s="1"/>
  <c r="C374" i="1" s="1"/>
  <c r="C375" i="1" s="1"/>
  <c r="C376" i="1" s="1"/>
  <c r="W368" i="1"/>
  <c r="R368" i="1"/>
  <c r="P368" i="1"/>
  <c r="N368" i="1"/>
  <c r="L368" i="1"/>
  <c r="H368" i="1"/>
  <c r="V368" i="1" s="1"/>
  <c r="W367" i="1"/>
  <c r="R367" i="1"/>
  <c r="P367" i="1"/>
  <c r="N367" i="1"/>
  <c r="L367" i="1"/>
  <c r="H367" i="1"/>
  <c r="U367" i="1" s="1"/>
  <c r="W366" i="1"/>
  <c r="V366" i="1"/>
  <c r="R366" i="1"/>
  <c r="P366" i="1"/>
  <c r="N366" i="1"/>
  <c r="L366" i="1"/>
  <c r="H366" i="1"/>
  <c r="U366" i="1" s="1"/>
  <c r="W365" i="1"/>
  <c r="R365" i="1"/>
  <c r="P365" i="1"/>
  <c r="N365" i="1"/>
  <c r="L365" i="1"/>
  <c r="H365" i="1"/>
  <c r="W364" i="1"/>
  <c r="R364" i="1"/>
  <c r="P364" i="1"/>
  <c r="N364" i="1"/>
  <c r="L364" i="1"/>
  <c r="H364" i="1"/>
  <c r="W363" i="1"/>
  <c r="R363" i="1"/>
  <c r="P363" i="1"/>
  <c r="N363" i="1"/>
  <c r="L363" i="1"/>
  <c r="H363" i="1"/>
  <c r="V363" i="1" s="1"/>
  <c r="W362" i="1"/>
  <c r="R362" i="1"/>
  <c r="P362" i="1"/>
  <c r="N362" i="1"/>
  <c r="L362" i="1"/>
  <c r="H362" i="1"/>
  <c r="V362" i="1" s="1"/>
  <c r="W361" i="1"/>
  <c r="R361" i="1"/>
  <c r="P361" i="1"/>
  <c r="N361" i="1"/>
  <c r="L361" i="1"/>
  <c r="H361" i="1"/>
  <c r="V361" i="1" s="1"/>
  <c r="W360" i="1"/>
  <c r="R360" i="1"/>
  <c r="P360" i="1"/>
  <c r="N360" i="1"/>
  <c r="L360" i="1"/>
  <c r="H360" i="1"/>
  <c r="V360" i="1" s="1"/>
  <c r="W359" i="1"/>
  <c r="R359" i="1"/>
  <c r="P359" i="1"/>
  <c r="N359" i="1"/>
  <c r="L359" i="1"/>
  <c r="H359" i="1"/>
  <c r="U359" i="1" s="1"/>
  <c r="C359" i="1"/>
  <c r="C360" i="1" s="1"/>
  <c r="C361" i="1" s="1"/>
  <c r="C362" i="1" s="1"/>
  <c r="C363" i="1" s="1"/>
  <c r="C364" i="1" s="1"/>
  <c r="C365" i="1" s="1"/>
  <c r="C366" i="1" s="1"/>
  <c r="C367" i="1" s="1"/>
  <c r="W358" i="1"/>
  <c r="R358" i="1"/>
  <c r="P358" i="1"/>
  <c r="N358" i="1"/>
  <c r="L358" i="1"/>
  <c r="H358" i="1"/>
  <c r="V358" i="1" s="1"/>
  <c r="W357" i="1"/>
  <c r="R357" i="1"/>
  <c r="P357" i="1"/>
  <c r="N357" i="1"/>
  <c r="L357" i="1"/>
  <c r="H357" i="1"/>
  <c r="W356" i="1"/>
  <c r="R356" i="1"/>
  <c r="P356" i="1"/>
  <c r="N356" i="1"/>
  <c r="T356" i="1" s="1"/>
  <c r="L356" i="1"/>
  <c r="H356" i="1"/>
  <c r="V356" i="1" s="1"/>
  <c r="W355" i="1"/>
  <c r="R355" i="1"/>
  <c r="P355" i="1"/>
  <c r="N355" i="1"/>
  <c r="T355" i="1" s="1"/>
  <c r="L355" i="1"/>
  <c r="H355" i="1"/>
  <c r="W354" i="1"/>
  <c r="R354" i="1"/>
  <c r="P354" i="1"/>
  <c r="N354" i="1"/>
  <c r="T354" i="1" s="1"/>
  <c r="L354" i="1"/>
  <c r="H354" i="1"/>
  <c r="V354" i="1" s="1"/>
  <c r="W353" i="1"/>
  <c r="R353" i="1"/>
  <c r="P353" i="1"/>
  <c r="N353" i="1"/>
  <c r="T353" i="1" s="1"/>
  <c r="L353" i="1"/>
  <c r="H353" i="1"/>
  <c r="W352" i="1"/>
  <c r="R352" i="1"/>
  <c r="P352" i="1"/>
  <c r="N352" i="1"/>
  <c r="L352" i="1"/>
  <c r="H352" i="1"/>
  <c r="U352" i="1" s="1"/>
  <c r="W351" i="1"/>
  <c r="V351" i="1"/>
  <c r="R351" i="1"/>
  <c r="P351" i="1"/>
  <c r="N351" i="1"/>
  <c r="L351" i="1"/>
  <c r="H351" i="1"/>
  <c r="U351" i="1" s="1"/>
  <c r="C351" i="1"/>
  <c r="C352" i="1" s="1"/>
  <c r="C353" i="1" s="1"/>
  <c r="C354" i="1" s="1"/>
  <c r="C355" i="1" s="1"/>
  <c r="C356" i="1" s="1"/>
  <c r="C357" i="1" s="1"/>
  <c r="W350" i="1"/>
  <c r="R350" i="1"/>
  <c r="P350" i="1"/>
  <c r="N350" i="1"/>
  <c r="L350" i="1"/>
  <c r="H350" i="1"/>
  <c r="W349" i="1"/>
  <c r="T349" i="1"/>
  <c r="R349" i="1"/>
  <c r="P349" i="1"/>
  <c r="N349" i="1"/>
  <c r="L349" i="1"/>
  <c r="H349" i="1"/>
  <c r="W348" i="1"/>
  <c r="R348" i="1"/>
  <c r="P348" i="1"/>
  <c r="N348" i="1"/>
  <c r="L348" i="1"/>
  <c r="H348" i="1"/>
  <c r="V348" i="1" s="1"/>
  <c r="W347" i="1"/>
  <c r="R347" i="1"/>
  <c r="P347" i="1"/>
  <c r="N347" i="1"/>
  <c r="L347" i="1"/>
  <c r="H347" i="1"/>
  <c r="W346" i="1"/>
  <c r="R346" i="1"/>
  <c r="P346" i="1"/>
  <c r="N346" i="1"/>
  <c r="L346" i="1"/>
  <c r="H346" i="1"/>
  <c r="U346" i="1" s="1"/>
  <c r="W345" i="1"/>
  <c r="R345" i="1"/>
  <c r="P345" i="1"/>
  <c r="N345" i="1"/>
  <c r="L345" i="1"/>
  <c r="H345" i="1"/>
  <c r="U345" i="1" s="1"/>
  <c r="W344" i="1"/>
  <c r="R344" i="1"/>
  <c r="P344" i="1"/>
  <c r="N344" i="1"/>
  <c r="L344" i="1"/>
  <c r="H344" i="1"/>
  <c r="V344" i="1" s="1"/>
  <c r="W343" i="1"/>
  <c r="R343" i="1"/>
  <c r="P343" i="1"/>
  <c r="N343" i="1"/>
  <c r="L343" i="1"/>
  <c r="H343" i="1"/>
  <c r="W342" i="1"/>
  <c r="R342" i="1"/>
  <c r="P342" i="1"/>
  <c r="N342" i="1"/>
  <c r="L342" i="1"/>
  <c r="H342" i="1"/>
  <c r="U342" i="1" s="1"/>
  <c r="W341" i="1"/>
  <c r="R341" i="1"/>
  <c r="P341" i="1"/>
  <c r="N341" i="1"/>
  <c r="L341" i="1"/>
  <c r="H341" i="1"/>
  <c r="W340" i="1"/>
  <c r="R340" i="1"/>
  <c r="P340" i="1"/>
  <c r="N340" i="1"/>
  <c r="T340" i="1" s="1"/>
  <c r="L340" i="1"/>
  <c r="H340" i="1"/>
  <c r="V340" i="1" s="1"/>
  <c r="W339" i="1"/>
  <c r="R339" i="1"/>
  <c r="P339" i="1"/>
  <c r="N339" i="1"/>
  <c r="L339" i="1"/>
  <c r="H339" i="1"/>
  <c r="W338" i="1"/>
  <c r="R338" i="1"/>
  <c r="P338" i="1"/>
  <c r="N338" i="1"/>
  <c r="L338" i="1"/>
  <c r="H338" i="1"/>
  <c r="W337" i="1"/>
  <c r="R337" i="1"/>
  <c r="P337" i="1"/>
  <c r="N337" i="1"/>
  <c r="L337" i="1"/>
  <c r="H337" i="1"/>
  <c r="V337" i="1" s="1"/>
  <c r="W336" i="1"/>
  <c r="R336" i="1"/>
  <c r="P336" i="1"/>
  <c r="N336" i="1"/>
  <c r="L336" i="1"/>
  <c r="H336" i="1"/>
  <c r="U336" i="1" s="1"/>
  <c r="W335" i="1"/>
  <c r="R335" i="1"/>
  <c r="P335" i="1"/>
  <c r="N335" i="1"/>
  <c r="L335" i="1"/>
  <c r="H335" i="1"/>
  <c r="V335" i="1" s="1"/>
  <c r="W334" i="1"/>
  <c r="R334" i="1"/>
  <c r="P334" i="1"/>
  <c r="N334" i="1"/>
  <c r="L334" i="1"/>
  <c r="H334" i="1"/>
  <c r="W333" i="1"/>
  <c r="R333" i="1"/>
  <c r="P333" i="1"/>
  <c r="N333" i="1"/>
  <c r="L333" i="1"/>
  <c r="H333" i="1"/>
  <c r="V333" i="1" s="1"/>
  <c r="W332" i="1"/>
  <c r="R332" i="1"/>
  <c r="P332" i="1"/>
  <c r="N332" i="1"/>
  <c r="L332" i="1"/>
  <c r="H332" i="1"/>
  <c r="V332" i="1" s="1"/>
  <c r="W331" i="1"/>
  <c r="R331" i="1"/>
  <c r="P331" i="1"/>
  <c r="N331" i="1"/>
  <c r="L331" i="1"/>
  <c r="H331" i="1"/>
  <c r="V331" i="1" s="1"/>
  <c r="W330" i="1"/>
  <c r="R330" i="1"/>
  <c r="P330" i="1"/>
  <c r="N330" i="1"/>
  <c r="T330" i="1" s="1"/>
  <c r="L330" i="1"/>
  <c r="H330" i="1"/>
  <c r="V330" i="1" s="1"/>
  <c r="W329" i="1"/>
  <c r="R329" i="1"/>
  <c r="P329" i="1"/>
  <c r="N329" i="1"/>
  <c r="T329" i="1" s="1"/>
  <c r="L329" i="1"/>
  <c r="H329" i="1"/>
  <c r="V329" i="1" s="1"/>
  <c r="W328" i="1"/>
  <c r="R328" i="1"/>
  <c r="P328" i="1"/>
  <c r="N328" i="1"/>
  <c r="L328" i="1"/>
  <c r="H328" i="1"/>
  <c r="U328" i="1" s="1"/>
  <c r="W327" i="1"/>
  <c r="R327" i="1"/>
  <c r="P327" i="1"/>
  <c r="N327" i="1"/>
  <c r="L327" i="1"/>
  <c r="H327" i="1"/>
  <c r="W326" i="1"/>
  <c r="R326" i="1"/>
  <c r="P326" i="1"/>
  <c r="N326" i="1"/>
  <c r="L326" i="1"/>
  <c r="H326" i="1"/>
  <c r="C326" i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B326" i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W325" i="1"/>
  <c r="R325" i="1"/>
  <c r="P325" i="1"/>
  <c r="N325" i="1"/>
  <c r="L325" i="1"/>
  <c r="H325" i="1"/>
  <c r="V325" i="1" s="1"/>
  <c r="W324" i="1"/>
  <c r="R324" i="1"/>
  <c r="P324" i="1"/>
  <c r="N324" i="1"/>
  <c r="L324" i="1"/>
  <c r="H324" i="1"/>
  <c r="U324" i="1" s="1"/>
  <c r="W323" i="1"/>
  <c r="R323" i="1"/>
  <c r="P323" i="1"/>
  <c r="N323" i="1"/>
  <c r="L323" i="1"/>
  <c r="H323" i="1"/>
  <c r="V323" i="1" s="1"/>
  <c r="W322" i="1"/>
  <c r="R322" i="1"/>
  <c r="P322" i="1"/>
  <c r="N322" i="1"/>
  <c r="T322" i="1" s="1"/>
  <c r="L322" i="1"/>
  <c r="H322" i="1"/>
  <c r="W321" i="1"/>
  <c r="R321" i="1"/>
  <c r="P321" i="1"/>
  <c r="N321" i="1"/>
  <c r="L321" i="1"/>
  <c r="H321" i="1"/>
  <c r="V321" i="1" s="1"/>
  <c r="W320" i="1"/>
  <c r="R320" i="1"/>
  <c r="P320" i="1"/>
  <c r="N320" i="1"/>
  <c r="T320" i="1" s="1"/>
  <c r="L320" i="1"/>
  <c r="H320" i="1"/>
  <c r="U320" i="1" s="1"/>
  <c r="W319" i="1"/>
  <c r="U319" i="1"/>
  <c r="R319" i="1"/>
  <c r="P319" i="1"/>
  <c r="N319" i="1"/>
  <c r="T319" i="1" s="1"/>
  <c r="L319" i="1"/>
  <c r="H319" i="1"/>
  <c r="V319" i="1" s="1"/>
  <c r="W318" i="1"/>
  <c r="R318" i="1"/>
  <c r="P318" i="1"/>
  <c r="N318" i="1"/>
  <c r="L318" i="1"/>
  <c r="H318" i="1"/>
  <c r="V318" i="1" s="1"/>
  <c r="W317" i="1"/>
  <c r="R317" i="1"/>
  <c r="P317" i="1"/>
  <c r="N317" i="1"/>
  <c r="L317" i="1"/>
  <c r="H317" i="1"/>
  <c r="U317" i="1" s="1"/>
  <c r="W316" i="1"/>
  <c r="R316" i="1"/>
  <c r="P316" i="1"/>
  <c r="N316" i="1"/>
  <c r="L316" i="1"/>
  <c r="H316" i="1"/>
  <c r="C316" i="1"/>
  <c r="C317" i="1" s="1"/>
  <c r="C318" i="1" s="1"/>
  <c r="C319" i="1" s="1"/>
  <c r="C320" i="1" s="1"/>
  <c r="C321" i="1" s="1"/>
  <c r="C322" i="1" s="1"/>
  <c r="C323" i="1" s="1"/>
  <c r="C324" i="1" s="1"/>
  <c r="W315" i="1"/>
  <c r="R315" i="1"/>
  <c r="P315" i="1"/>
  <c r="N315" i="1"/>
  <c r="L315" i="1"/>
  <c r="H315" i="1"/>
  <c r="W314" i="1"/>
  <c r="R314" i="1"/>
  <c r="P314" i="1"/>
  <c r="N314" i="1"/>
  <c r="L314" i="1"/>
  <c r="H314" i="1"/>
  <c r="W313" i="1"/>
  <c r="R313" i="1"/>
  <c r="P313" i="1"/>
  <c r="N313" i="1"/>
  <c r="L313" i="1"/>
  <c r="H313" i="1"/>
  <c r="U313" i="1" s="1"/>
  <c r="W312" i="1"/>
  <c r="R312" i="1"/>
  <c r="P312" i="1"/>
  <c r="N312" i="1"/>
  <c r="L312" i="1"/>
  <c r="H312" i="1"/>
  <c r="U312" i="1" s="1"/>
  <c r="W311" i="1"/>
  <c r="R311" i="1"/>
  <c r="P311" i="1"/>
  <c r="N311" i="1"/>
  <c r="L311" i="1"/>
  <c r="H311" i="1"/>
  <c r="V311" i="1" s="1"/>
  <c r="W310" i="1"/>
  <c r="R310" i="1"/>
  <c r="P310" i="1"/>
  <c r="N310" i="1"/>
  <c r="T310" i="1" s="1"/>
  <c r="L310" i="1"/>
  <c r="H310" i="1"/>
  <c r="W309" i="1"/>
  <c r="R309" i="1"/>
  <c r="P309" i="1"/>
  <c r="N309" i="1"/>
  <c r="L309" i="1"/>
  <c r="H309" i="1"/>
  <c r="U309" i="1" s="1"/>
  <c r="W308" i="1"/>
  <c r="R308" i="1"/>
  <c r="P308" i="1"/>
  <c r="N308" i="1"/>
  <c r="T308" i="1" s="1"/>
  <c r="L308" i="1"/>
  <c r="H308" i="1"/>
  <c r="U308" i="1" s="1"/>
  <c r="W307" i="1"/>
  <c r="R307" i="1"/>
  <c r="P307" i="1"/>
  <c r="N307" i="1"/>
  <c r="T307" i="1" s="1"/>
  <c r="L307" i="1"/>
  <c r="H307" i="1"/>
  <c r="U307" i="1" s="1"/>
  <c r="C307" i="1"/>
  <c r="C308" i="1" s="1"/>
  <c r="C309" i="1" s="1"/>
  <c r="C310" i="1" s="1"/>
  <c r="C311" i="1" s="1"/>
  <c r="C312" i="1" s="1"/>
  <c r="C313" i="1" s="1"/>
  <c r="C314" i="1" s="1"/>
  <c r="W306" i="1"/>
  <c r="R306" i="1"/>
  <c r="P306" i="1"/>
  <c r="N306" i="1"/>
  <c r="L306" i="1"/>
  <c r="H306" i="1"/>
  <c r="W305" i="1"/>
  <c r="R305" i="1"/>
  <c r="P305" i="1"/>
  <c r="N305" i="1"/>
  <c r="L305" i="1"/>
  <c r="H305" i="1"/>
  <c r="V305" i="1" s="1"/>
  <c r="W304" i="1"/>
  <c r="R304" i="1"/>
  <c r="P304" i="1"/>
  <c r="N304" i="1"/>
  <c r="L304" i="1"/>
  <c r="H304" i="1"/>
  <c r="U304" i="1" s="1"/>
  <c r="W303" i="1"/>
  <c r="R303" i="1"/>
  <c r="P303" i="1"/>
  <c r="N303" i="1"/>
  <c r="L303" i="1"/>
  <c r="H303" i="1"/>
  <c r="V303" i="1" s="1"/>
  <c r="W302" i="1"/>
  <c r="R302" i="1"/>
  <c r="P302" i="1"/>
  <c r="N302" i="1"/>
  <c r="T302" i="1" s="1"/>
  <c r="L302" i="1"/>
  <c r="H302" i="1"/>
  <c r="W301" i="1"/>
  <c r="R301" i="1"/>
  <c r="P301" i="1"/>
  <c r="N301" i="1"/>
  <c r="L301" i="1"/>
  <c r="H301" i="1"/>
  <c r="V301" i="1" s="1"/>
  <c r="W300" i="1"/>
  <c r="R300" i="1"/>
  <c r="P300" i="1"/>
  <c r="N300" i="1"/>
  <c r="T300" i="1" s="1"/>
  <c r="L300" i="1"/>
  <c r="H300" i="1"/>
  <c r="U300" i="1" s="1"/>
  <c r="W299" i="1"/>
  <c r="R299" i="1"/>
  <c r="P299" i="1"/>
  <c r="N299" i="1"/>
  <c r="L299" i="1"/>
  <c r="H299" i="1"/>
  <c r="V299" i="1" s="1"/>
  <c r="W298" i="1"/>
  <c r="R298" i="1"/>
  <c r="P298" i="1"/>
  <c r="N298" i="1"/>
  <c r="L298" i="1"/>
  <c r="H298" i="1"/>
  <c r="U298" i="1" s="1"/>
  <c r="W297" i="1"/>
  <c r="R297" i="1"/>
  <c r="P297" i="1"/>
  <c r="N297" i="1"/>
  <c r="L297" i="1"/>
  <c r="H297" i="1"/>
  <c r="U297" i="1" s="1"/>
  <c r="W296" i="1"/>
  <c r="R296" i="1"/>
  <c r="P296" i="1"/>
  <c r="N296" i="1"/>
  <c r="L296" i="1"/>
  <c r="H296" i="1"/>
  <c r="U296" i="1" s="1"/>
  <c r="W295" i="1"/>
  <c r="R295" i="1"/>
  <c r="P295" i="1"/>
  <c r="N295" i="1"/>
  <c r="L295" i="1"/>
  <c r="H295" i="1"/>
  <c r="V295" i="1" s="1"/>
  <c r="W294" i="1"/>
  <c r="R294" i="1"/>
  <c r="P294" i="1"/>
  <c r="N294" i="1"/>
  <c r="T294" i="1" s="1"/>
  <c r="L294" i="1"/>
  <c r="H294" i="1"/>
  <c r="U294" i="1" s="1"/>
  <c r="C294" i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W293" i="1"/>
  <c r="R293" i="1"/>
  <c r="P293" i="1"/>
  <c r="N293" i="1"/>
  <c r="T293" i="1" s="1"/>
  <c r="L293" i="1"/>
  <c r="H293" i="1"/>
  <c r="V293" i="1" s="1"/>
  <c r="W292" i="1"/>
  <c r="R292" i="1"/>
  <c r="P292" i="1"/>
  <c r="N292" i="1"/>
  <c r="T292" i="1" s="1"/>
  <c r="L292" i="1"/>
  <c r="H292" i="1"/>
  <c r="V292" i="1" s="1"/>
  <c r="W291" i="1"/>
  <c r="R291" i="1"/>
  <c r="P291" i="1"/>
  <c r="N291" i="1"/>
  <c r="T291" i="1" s="1"/>
  <c r="L291" i="1"/>
  <c r="H291" i="1"/>
  <c r="U291" i="1" s="1"/>
  <c r="W290" i="1"/>
  <c r="V290" i="1"/>
  <c r="R290" i="1"/>
  <c r="P290" i="1"/>
  <c r="N290" i="1"/>
  <c r="T290" i="1" s="1"/>
  <c r="L290" i="1"/>
  <c r="H290" i="1"/>
  <c r="U290" i="1" s="1"/>
  <c r="W289" i="1"/>
  <c r="R289" i="1"/>
  <c r="P289" i="1"/>
  <c r="N289" i="1"/>
  <c r="T289" i="1" s="1"/>
  <c r="L289" i="1"/>
  <c r="H289" i="1"/>
  <c r="V289" i="1" s="1"/>
  <c r="W288" i="1"/>
  <c r="R288" i="1"/>
  <c r="P288" i="1"/>
  <c r="N288" i="1"/>
  <c r="L288" i="1"/>
  <c r="H288" i="1"/>
  <c r="V288" i="1" s="1"/>
  <c r="W287" i="1"/>
  <c r="R287" i="1"/>
  <c r="P287" i="1"/>
  <c r="N287" i="1"/>
  <c r="T287" i="1" s="1"/>
  <c r="L287" i="1"/>
  <c r="H287" i="1"/>
  <c r="U287" i="1" s="1"/>
  <c r="W286" i="1"/>
  <c r="R286" i="1"/>
  <c r="P286" i="1"/>
  <c r="N286" i="1"/>
  <c r="T286" i="1" s="1"/>
  <c r="L286" i="1"/>
  <c r="H286" i="1"/>
  <c r="W285" i="1"/>
  <c r="R285" i="1"/>
  <c r="P285" i="1"/>
  <c r="N285" i="1"/>
  <c r="T285" i="1" s="1"/>
  <c r="L285" i="1"/>
  <c r="H285" i="1"/>
  <c r="V285" i="1" s="1"/>
  <c r="W284" i="1"/>
  <c r="R284" i="1"/>
  <c r="P284" i="1"/>
  <c r="N284" i="1"/>
  <c r="T284" i="1" s="1"/>
  <c r="L284" i="1"/>
  <c r="H284" i="1"/>
  <c r="U284" i="1" s="1"/>
  <c r="W283" i="1"/>
  <c r="R283" i="1"/>
  <c r="P283" i="1"/>
  <c r="N283" i="1"/>
  <c r="T283" i="1" s="1"/>
  <c r="L283" i="1"/>
  <c r="H283" i="1"/>
  <c r="V283" i="1" s="1"/>
  <c r="C283" i="1"/>
  <c r="C284" i="1" s="1"/>
  <c r="C285" i="1" s="1"/>
  <c r="C286" i="1" s="1"/>
  <c r="C287" i="1" s="1"/>
  <c r="C288" i="1" s="1"/>
  <c r="C289" i="1" s="1"/>
  <c r="C290" i="1" s="1"/>
  <c r="C291" i="1" s="1"/>
  <c r="C292" i="1" s="1"/>
  <c r="W282" i="1"/>
  <c r="R282" i="1"/>
  <c r="P282" i="1"/>
  <c r="N282" i="1"/>
  <c r="T282" i="1" s="1"/>
  <c r="L282" i="1"/>
  <c r="H282" i="1"/>
  <c r="V282" i="1" s="1"/>
  <c r="W281" i="1"/>
  <c r="R281" i="1"/>
  <c r="P281" i="1"/>
  <c r="N281" i="1"/>
  <c r="L281" i="1"/>
  <c r="H281" i="1"/>
  <c r="V281" i="1" s="1"/>
  <c r="W280" i="1"/>
  <c r="R280" i="1"/>
  <c r="P280" i="1"/>
  <c r="N280" i="1"/>
  <c r="L280" i="1"/>
  <c r="H280" i="1"/>
  <c r="W279" i="1"/>
  <c r="R279" i="1"/>
  <c r="P279" i="1"/>
  <c r="N279" i="1"/>
  <c r="L279" i="1"/>
  <c r="H279" i="1"/>
  <c r="U279" i="1" s="1"/>
  <c r="W278" i="1"/>
  <c r="R278" i="1"/>
  <c r="P278" i="1"/>
  <c r="N278" i="1"/>
  <c r="L278" i="1"/>
  <c r="H278" i="1"/>
  <c r="V278" i="1" s="1"/>
  <c r="W277" i="1"/>
  <c r="R277" i="1"/>
  <c r="P277" i="1"/>
  <c r="N277" i="1"/>
  <c r="L277" i="1"/>
  <c r="H277" i="1"/>
  <c r="U277" i="1" s="1"/>
  <c r="W276" i="1"/>
  <c r="R276" i="1"/>
  <c r="P276" i="1"/>
  <c r="N276" i="1"/>
  <c r="L276" i="1"/>
  <c r="H276" i="1"/>
  <c r="V276" i="1" s="1"/>
  <c r="W275" i="1"/>
  <c r="R275" i="1"/>
  <c r="P275" i="1"/>
  <c r="N275" i="1"/>
  <c r="L275" i="1"/>
  <c r="H275" i="1"/>
  <c r="V275" i="1" s="1"/>
  <c r="W274" i="1"/>
  <c r="R274" i="1"/>
  <c r="P274" i="1"/>
  <c r="N274" i="1"/>
  <c r="L274" i="1"/>
  <c r="H274" i="1"/>
  <c r="V274" i="1" s="1"/>
  <c r="W273" i="1"/>
  <c r="R273" i="1"/>
  <c r="P273" i="1"/>
  <c r="N273" i="1"/>
  <c r="L273" i="1"/>
  <c r="H273" i="1"/>
  <c r="U273" i="1" s="1"/>
  <c r="W272" i="1"/>
  <c r="R272" i="1"/>
  <c r="P272" i="1"/>
  <c r="N272" i="1"/>
  <c r="L272" i="1"/>
  <c r="H272" i="1"/>
  <c r="V272" i="1" s="1"/>
  <c r="C272" i="1"/>
  <c r="C273" i="1" s="1"/>
  <c r="C274" i="1" s="1"/>
  <c r="C275" i="1" s="1"/>
  <c r="C276" i="1" s="1"/>
  <c r="C277" i="1" s="1"/>
  <c r="C278" i="1" s="1"/>
  <c r="C279" i="1" s="1"/>
  <c r="C280" i="1" s="1"/>
  <c r="C281" i="1" s="1"/>
  <c r="W271" i="1"/>
  <c r="R271" i="1"/>
  <c r="P271" i="1"/>
  <c r="N271" i="1"/>
  <c r="L271" i="1"/>
  <c r="H271" i="1"/>
  <c r="V271" i="1" s="1"/>
  <c r="W270" i="1"/>
  <c r="R270" i="1"/>
  <c r="P270" i="1"/>
  <c r="N270" i="1"/>
  <c r="L270" i="1"/>
  <c r="H270" i="1"/>
  <c r="U270" i="1" s="1"/>
  <c r="W269" i="1"/>
  <c r="R269" i="1"/>
  <c r="P269" i="1"/>
  <c r="N269" i="1"/>
  <c r="L269" i="1"/>
  <c r="H269" i="1"/>
  <c r="W268" i="1"/>
  <c r="R268" i="1"/>
  <c r="P268" i="1"/>
  <c r="N268" i="1"/>
  <c r="L268" i="1"/>
  <c r="H268" i="1"/>
  <c r="U268" i="1" s="1"/>
  <c r="W267" i="1"/>
  <c r="R267" i="1"/>
  <c r="P267" i="1"/>
  <c r="N267" i="1"/>
  <c r="L267" i="1"/>
  <c r="H267" i="1"/>
  <c r="V267" i="1" s="1"/>
  <c r="W266" i="1"/>
  <c r="R266" i="1"/>
  <c r="P266" i="1"/>
  <c r="N266" i="1"/>
  <c r="L266" i="1"/>
  <c r="H266" i="1"/>
  <c r="U266" i="1" s="1"/>
  <c r="W265" i="1"/>
  <c r="R265" i="1"/>
  <c r="P265" i="1"/>
  <c r="N265" i="1"/>
  <c r="L265" i="1"/>
  <c r="H265" i="1"/>
  <c r="W264" i="1"/>
  <c r="R264" i="1"/>
  <c r="P264" i="1"/>
  <c r="N264" i="1"/>
  <c r="L264" i="1"/>
  <c r="H264" i="1"/>
  <c r="V264" i="1" s="1"/>
  <c r="W263" i="1"/>
  <c r="R263" i="1"/>
  <c r="P263" i="1"/>
  <c r="N263" i="1"/>
  <c r="L263" i="1"/>
  <c r="H263" i="1"/>
  <c r="V263" i="1" s="1"/>
  <c r="W262" i="1"/>
  <c r="R262" i="1"/>
  <c r="P262" i="1"/>
  <c r="N262" i="1"/>
  <c r="L262" i="1"/>
  <c r="H262" i="1"/>
  <c r="W261" i="1"/>
  <c r="R261" i="1"/>
  <c r="P261" i="1"/>
  <c r="N261" i="1"/>
  <c r="L261" i="1"/>
  <c r="H261" i="1"/>
  <c r="V261" i="1" s="1"/>
  <c r="W260" i="1"/>
  <c r="R260" i="1"/>
  <c r="P260" i="1"/>
  <c r="N260" i="1"/>
  <c r="L260" i="1"/>
  <c r="H260" i="1"/>
  <c r="U260" i="1" s="1"/>
  <c r="W259" i="1"/>
  <c r="R259" i="1"/>
  <c r="P259" i="1"/>
  <c r="N259" i="1"/>
  <c r="L259" i="1"/>
  <c r="H259" i="1"/>
  <c r="W258" i="1"/>
  <c r="R258" i="1"/>
  <c r="P258" i="1"/>
  <c r="N258" i="1"/>
  <c r="L258" i="1"/>
  <c r="H258" i="1"/>
  <c r="U258" i="1" s="1"/>
  <c r="W257" i="1"/>
  <c r="R257" i="1"/>
  <c r="P257" i="1"/>
  <c r="N257" i="1"/>
  <c r="L257" i="1"/>
  <c r="H257" i="1"/>
  <c r="U257" i="1" s="1"/>
  <c r="C257" i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W256" i="1"/>
  <c r="R256" i="1"/>
  <c r="P256" i="1"/>
  <c r="N256" i="1"/>
  <c r="L256" i="1"/>
  <c r="H256" i="1"/>
  <c r="W255" i="1"/>
  <c r="R255" i="1"/>
  <c r="P255" i="1"/>
  <c r="N255" i="1"/>
  <c r="L255" i="1"/>
  <c r="H255" i="1"/>
  <c r="U255" i="1" s="1"/>
  <c r="W254" i="1"/>
  <c r="R254" i="1"/>
  <c r="P254" i="1"/>
  <c r="N254" i="1"/>
  <c r="L254" i="1"/>
  <c r="H254" i="1"/>
  <c r="W253" i="1"/>
  <c r="R253" i="1"/>
  <c r="P253" i="1"/>
  <c r="N253" i="1"/>
  <c r="T253" i="1" s="1"/>
  <c r="L253" i="1"/>
  <c r="H253" i="1"/>
  <c r="V253" i="1" s="1"/>
  <c r="W252" i="1"/>
  <c r="R252" i="1"/>
  <c r="P252" i="1"/>
  <c r="N252" i="1"/>
  <c r="T252" i="1" s="1"/>
  <c r="L252" i="1"/>
  <c r="H252" i="1"/>
  <c r="V252" i="1" s="1"/>
  <c r="W251" i="1"/>
  <c r="R251" i="1"/>
  <c r="P251" i="1"/>
  <c r="N251" i="1"/>
  <c r="L251" i="1"/>
  <c r="H251" i="1"/>
  <c r="V251" i="1" s="1"/>
  <c r="W250" i="1"/>
  <c r="R250" i="1"/>
  <c r="P250" i="1"/>
  <c r="N250" i="1"/>
  <c r="T250" i="1" s="1"/>
  <c r="L250" i="1"/>
  <c r="H250" i="1"/>
  <c r="V250" i="1" s="1"/>
  <c r="W249" i="1"/>
  <c r="R249" i="1"/>
  <c r="P249" i="1"/>
  <c r="N249" i="1"/>
  <c r="L249" i="1"/>
  <c r="H249" i="1"/>
  <c r="V249" i="1" s="1"/>
  <c r="W248" i="1"/>
  <c r="R248" i="1"/>
  <c r="P248" i="1"/>
  <c r="N248" i="1"/>
  <c r="L248" i="1"/>
  <c r="H248" i="1"/>
  <c r="V248" i="1" s="1"/>
  <c r="W247" i="1"/>
  <c r="R247" i="1"/>
  <c r="P247" i="1"/>
  <c r="N247" i="1"/>
  <c r="T247" i="1" s="1"/>
  <c r="L247" i="1"/>
  <c r="H247" i="1"/>
  <c r="C247" i="1"/>
  <c r="C248" i="1" s="1"/>
  <c r="C249" i="1" s="1"/>
  <c r="C250" i="1" s="1"/>
  <c r="C251" i="1" s="1"/>
  <c r="C252" i="1" s="1"/>
  <c r="C253" i="1" s="1"/>
  <c r="C254" i="1" s="1"/>
  <c r="C255" i="1" s="1"/>
  <c r="W246" i="1"/>
  <c r="R246" i="1"/>
  <c r="P246" i="1"/>
  <c r="N246" i="1"/>
  <c r="T246" i="1" s="1"/>
  <c r="L246" i="1"/>
  <c r="H246" i="1"/>
  <c r="U246" i="1" s="1"/>
  <c r="W245" i="1"/>
  <c r="R245" i="1"/>
  <c r="P245" i="1"/>
  <c r="N245" i="1"/>
  <c r="T245" i="1" s="1"/>
  <c r="L245" i="1"/>
  <c r="H245" i="1"/>
  <c r="V245" i="1" s="1"/>
  <c r="W244" i="1"/>
  <c r="R244" i="1"/>
  <c r="P244" i="1"/>
  <c r="N244" i="1"/>
  <c r="T244" i="1" s="1"/>
  <c r="L244" i="1"/>
  <c r="H244" i="1"/>
  <c r="V244" i="1" s="1"/>
  <c r="W243" i="1"/>
  <c r="R243" i="1"/>
  <c r="P243" i="1"/>
  <c r="N243" i="1"/>
  <c r="T243" i="1" s="1"/>
  <c r="L243" i="1"/>
  <c r="H243" i="1"/>
  <c r="U243" i="1" s="1"/>
  <c r="W242" i="1"/>
  <c r="R242" i="1"/>
  <c r="P242" i="1"/>
  <c r="N242" i="1"/>
  <c r="T242" i="1" s="1"/>
  <c r="L242" i="1"/>
  <c r="H242" i="1"/>
  <c r="V242" i="1" s="1"/>
  <c r="W241" i="1"/>
  <c r="R241" i="1"/>
  <c r="P241" i="1"/>
  <c r="N241" i="1"/>
  <c r="T241" i="1" s="1"/>
  <c r="L241" i="1"/>
  <c r="H241" i="1"/>
  <c r="W240" i="1"/>
  <c r="R240" i="1"/>
  <c r="P240" i="1"/>
  <c r="N240" i="1"/>
  <c r="L240" i="1"/>
  <c r="H240" i="1"/>
  <c r="U240" i="1" s="1"/>
  <c r="C240" i="1"/>
  <c r="C241" i="1" s="1"/>
  <c r="C242" i="1" s="1"/>
  <c r="C243" i="1" s="1"/>
  <c r="C244" i="1" s="1"/>
  <c r="C245" i="1" s="1"/>
  <c r="W239" i="1"/>
  <c r="R239" i="1"/>
  <c r="P239" i="1"/>
  <c r="N239" i="1"/>
  <c r="T239" i="1" s="1"/>
  <c r="L239" i="1"/>
  <c r="H239" i="1"/>
  <c r="V239" i="1" s="1"/>
  <c r="W238" i="1"/>
  <c r="R238" i="1"/>
  <c r="P238" i="1"/>
  <c r="N238" i="1"/>
  <c r="L238" i="1"/>
  <c r="H238" i="1"/>
  <c r="U238" i="1" s="1"/>
  <c r="W237" i="1"/>
  <c r="R237" i="1"/>
  <c r="P237" i="1"/>
  <c r="N237" i="1"/>
  <c r="L237" i="1"/>
  <c r="H237" i="1"/>
  <c r="V237" i="1" s="1"/>
  <c r="W236" i="1"/>
  <c r="R236" i="1"/>
  <c r="P236" i="1"/>
  <c r="N236" i="1"/>
  <c r="L236" i="1"/>
  <c r="H236" i="1"/>
  <c r="V236" i="1" s="1"/>
  <c r="W235" i="1"/>
  <c r="R235" i="1"/>
  <c r="P235" i="1"/>
  <c r="N235" i="1"/>
  <c r="L235" i="1"/>
  <c r="H235" i="1"/>
  <c r="V235" i="1" s="1"/>
  <c r="W234" i="1"/>
  <c r="R234" i="1"/>
  <c r="P234" i="1"/>
  <c r="N234" i="1"/>
  <c r="L234" i="1"/>
  <c r="H234" i="1"/>
  <c r="V234" i="1" s="1"/>
  <c r="W233" i="1"/>
  <c r="R233" i="1"/>
  <c r="P233" i="1"/>
  <c r="N233" i="1"/>
  <c r="L233" i="1"/>
  <c r="H233" i="1"/>
  <c r="V233" i="1" s="1"/>
  <c r="W232" i="1"/>
  <c r="R232" i="1"/>
  <c r="P232" i="1"/>
  <c r="N232" i="1"/>
  <c r="L232" i="1"/>
  <c r="H232" i="1"/>
  <c r="V232" i="1" s="1"/>
  <c r="C232" i="1"/>
  <c r="C233" i="1" s="1"/>
  <c r="C234" i="1" s="1"/>
  <c r="C235" i="1" s="1"/>
  <c r="C236" i="1" s="1"/>
  <c r="C237" i="1" s="1"/>
  <c r="C238" i="1" s="1"/>
  <c r="W231" i="1"/>
  <c r="R231" i="1"/>
  <c r="P231" i="1"/>
  <c r="N231" i="1"/>
  <c r="L231" i="1"/>
  <c r="H231" i="1"/>
  <c r="W230" i="1"/>
  <c r="R230" i="1"/>
  <c r="P230" i="1"/>
  <c r="N230" i="1"/>
  <c r="L230" i="1"/>
  <c r="H230" i="1"/>
  <c r="V230" i="1" s="1"/>
  <c r="W229" i="1"/>
  <c r="R229" i="1"/>
  <c r="P229" i="1"/>
  <c r="N229" i="1"/>
  <c r="L229" i="1"/>
  <c r="H229" i="1"/>
  <c r="V229" i="1" s="1"/>
  <c r="W228" i="1"/>
  <c r="R228" i="1"/>
  <c r="P228" i="1"/>
  <c r="N228" i="1"/>
  <c r="L228" i="1"/>
  <c r="H228" i="1"/>
  <c r="U228" i="1" s="1"/>
  <c r="W227" i="1"/>
  <c r="R227" i="1"/>
  <c r="P227" i="1"/>
  <c r="N227" i="1"/>
  <c r="T227" i="1" s="1"/>
  <c r="L227" i="1"/>
  <c r="H227" i="1"/>
  <c r="U227" i="1" s="1"/>
  <c r="W226" i="1"/>
  <c r="R226" i="1"/>
  <c r="P226" i="1"/>
  <c r="N226" i="1"/>
  <c r="L226" i="1"/>
  <c r="H226" i="1"/>
  <c r="W225" i="1"/>
  <c r="R225" i="1"/>
  <c r="P225" i="1"/>
  <c r="N225" i="1"/>
  <c r="L225" i="1"/>
  <c r="H225" i="1"/>
  <c r="V225" i="1" s="1"/>
  <c r="W224" i="1"/>
  <c r="R224" i="1"/>
  <c r="P224" i="1"/>
  <c r="N224" i="1"/>
  <c r="L224" i="1"/>
  <c r="H224" i="1"/>
  <c r="V224" i="1" s="1"/>
  <c r="W223" i="1"/>
  <c r="R223" i="1"/>
  <c r="P223" i="1"/>
  <c r="N223" i="1"/>
  <c r="L223" i="1"/>
  <c r="H223" i="1"/>
  <c r="V223" i="1" s="1"/>
  <c r="C223" i="1"/>
  <c r="C224" i="1" s="1"/>
  <c r="C225" i="1" s="1"/>
  <c r="C226" i="1" s="1"/>
  <c r="C227" i="1" s="1"/>
  <c r="C228" i="1" s="1"/>
  <c r="C229" i="1" s="1"/>
  <c r="C230" i="1" s="1"/>
  <c r="W222" i="1"/>
  <c r="R222" i="1"/>
  <c r="P222" i="1"/>
  <c r="N222" i="1"/>
  <c r="L222" i="1"/>
  <c r="H222" i="1"/>
  <c r="V222" i="1" s="1"/>
  <c r="W221" i="1"/>
  <c r="R221" i="1"/>
  <c r="P221" i="1"/>
  <c r="N221" i="1"/>
  <c r="T221" i="1" s="1"/>
  <c r="L221" i="1"/>
  <c r="H221" i="1"/>
  <c r="W220" i="1"/>
  <c r="R220" i="1"/>
  <c r="P220" i="1"/>
  <c r="N220" i="1"/>
  <c r="T220" i="1" s="1"/>
  <c r="L220" i="1"/>
  <c r="H220" i="1"/>
  <c r="V220" i="1" s="1"/>
  <c r="W219" i="1"/>
  <c r="R219" i="1"/>
  <c r="P219" i="1"/>
  <c r="N219" i="1"/>
  <c r="L219" i="1"/>
  <c r="H219" i="1"/>
  <c r="V219" i="1" s="1"/>
  <c r="W218" i="1"/>
  <c r="R218" i="1"/>
  <c r="P218" i="1"/>
  <c r="N218" i="1"/>
  <c r="L218" i="1"/>
  <c r="H218" i="1"/>
  <c r="U218" i="1" s="1"/>
  <c r="W217" i="1"/>
  <c r="R217" i="1"/>
  <c r="P217" i="1"/>
  <c r="N217" i="1"/>
  <c r="T217" i="1" s="1"/>
  <c r="L217" i="1"/>
  <c r="H217" i="1"/>
  <c r="U217" i="1" s="1"/>
  <c r="W216" i="1"/>
  <c r="R216" i="1"/>
  <c r="P216" i="1"/>
  <c r="N216" i="1"/>
  <c r="L216" i="1"/>
  <c r="H216" i="1"/>
  <c r="V216" i="1" s="1"/>
  <c r="W215" i="1"/>
  <c r="R215" i="1"/>
  <c r="P215" i="1"/>
  <c r="N215" i="1"/>
  <c r="T215" i="1" s="1"/>
  <c r="L215" i="1"/>
  <c r="H215" i="1"/>
  <c r="V215" i="1" s="1"/>
  <c r="W214" i="1"/>
  <c r="R214" i="1"/>
  <c r="P214" i="1"/>
  <c r="N214" i="1"/>
  <c r="L214" i="1"/>
  <c r="H214" i="1"/>
  <c r="V214" i="1" s="1"/>
  <c r="W213" i="1"/>
  <c r="R213" i="1"/>
  <c r="P213" i="1"/>
  <c r="N213" i="1"/>
  <c r="L213" i="1"/>
  <c r="H213" i="1"/>
  <c r="V213" i="1" s="1"/>
  <c r="C213" i="1"/>
  <c r="C214" i="1" s="1"/>
  <c r="C215" i="1" s="1"/>
  <c r="C216" i="1" s="1"/>
  <c r="C217" i="1" s="1"/>
  <c r="C218" i="1" s="1"/>
  <c r="C219" i="1" s="1"/>
  <c r="C220" i="1" s="1"/>
  <c r="C221" i="1" s="1"/>
  <c r="W212" i="1"/>
  <c r="R212" i="1"/>
  <c r="P212" i="1"/>
  <c r="N212" i="1"/>
  <c r="T212" i="1" s="1"/>
  <c r="L212" i="1"/>
  <c r="H212" i="1"/>
  <c r="U212" i="1" s="1"/>
  <c r="W211" i="1"/>
  <c r="R211" i="1"/>
  <c r="P211" i="1"/>
  <c r="N211" i="1"/>
  <c r="T211" i="1" s="1"/>
  <c r="L211" i="1"/>
  <c r="H211" i="1"/>
  <c r="W210" i="1"/>
  <c r="R210" i="1"/>
  <c r="P210" i="1"/>
  <c r="N210" i="1"/>
  <c r="L210" i="1"/>
  <c r="H210" i="1"/>
  <c r="W209" i="1"/>
  <c r="R209" i="1"/>
  <c r="P209" i="1"/>
  <c r="N209" i="1"/>
  <c r="T209" i="1" s="1"/>
  <c r="L209" i="1"/>
  <c r="H209" i="1"/>
  <c r="V209" i="1" s="1"/>
  <c r="W208" i="1"/>
  <c r="R208" i="1"/>
  <c r="P208" i="1"/>
  <c r="N208" i="1"/>
  <c r="T208" i="1" s="1"/>
  <c r="L208" i="1"/>
  <c r="H208" i="1"/>
  <c r="V208" i="1" s="1"/>
  <c r="W207" i="1"/>
  <c r="R207" i="1"/>
  <c r="P207" i="1"/>
  <c r="N207" i="1"/>
  <c r="T207" i="1" s="1"/>
  <c r="L207" i="1"/>
  <c r="H207" i="1"/>
  <c r="U207" i="1" s="1"/>
  <c r="C207" i="1"/>
  <c r="C208" i="1" s="1"/>
  <c r="C209" i="1" s="1"/>
  <c r="C210" i="1" s="1"/>
  <c r="C211" i="1" s="1"/>
  <c r="W206" i="1"/>
  <c r="R206" i="1"/>
  <c r="P206" i="1"/>
  <c r="N206" i="1"/>
  <c r="L206" i="1"/>
  <c r="H206" i="1"/>
  <c r="U206" i="1" s="1"/>
  <c r="W205" i="1"/>
  <c r="R205" i="1"/>
  <c r="P205" i="1"/>
  <c r="N205" i="1"/>
  <c r="L205" i="1"/>
  <c r="H205" i="1"/>
  <c r="V205" i="1" s="1"/>
  <c r="W204" i="1"/>
  <c r="R204" i="1"/>
  <c r="P204" i="1"/>
  <c r="T204" i="1" s="1"/>
  <c r="N204" i="1"/>
  <c r="L204" i="1"/>
  <c r="H204" i="1"/>
  <c r="V204" i="1" s="1"/>
  <c r="W203" i="1"/>
  <c r="R203" i="1"/>
  <c r="P203" i="1"/>
  <c r="N203" i="1"/>
  <c r="L203" i="1"/>
  <c r="H203" i="1"/>
  <c r="V203" i="1" s="1"/>
  <c r="W202" i="1"/>
  <c r="R202" i="1"/>
  <c r="P202" i="1"/>
  <c r="N202" i="1"/>
  <c r="L202" i="1"/>
  <c r="H202" i="1"/>
  <c r="V202" i="1" s="1"/>
  <c r="W201" i="1"/>
  <c r="R201" i="1"/>
  <c r="P201" i="1"/>
  <c r="N201" i="1"/>
  <c r="T201" i="1" s="1"/>
  <c r="L201" i="1"/>
  <c r="H201" i="1"/>
  <c r="V201" i="1" s="1"/>
  <c r="W200" i="1"/>
  <c r="R200" i="1"/>
  <c r="P200" i="1"/>
  <c r="N200" i="1"/>
  <c r="L200" i="1"/>
  <c r="H200" i="1"/>
  <c r="W199" i="1"/>
  <c r="R199" i="1"/>
  <c r="P199" i="1"/>
  <c r="N199" i="1"/>
  <c r="L199" i="1"/>
  <c r="H199" i="1"/>
  <c r="W198" i="1"/>
  <c r="R198" i="1"/>
  <c r="P198" i="1"/>
  <c r="N198" i="1"/>
  <c r="L198" i="1"/>
  <c r="H198" i="1"/>
  <c r="U198" i="1" s="1"/>
  <c r="C198" i="1"/>
  <c r="C199" i="1" s="1"/>
  <c r="C200" i="1" s="1"/>
  <c r="C201" i="1" s="1"/>
  <c r="C202" i="1" s="1"/>
  <c r="C203" i="1" s="1"/>
  <c r="C204" i="1" s="1"/>
  <c r="C205" i="1" s="1"/>
  <c r="W197" i="1"/>
  <c r="V197" i="1"/>
  <c r="U197" i="1"/>
  <c r="R197" i="1"/>
  <c r="P197" i="1"/>
  <c r="N197" i="1"/>
  <c r="L197" i="1"/>
  <c r="H197" i="1"/>
  <c r="W196" i="1"/>
  <c r="R196" i="1"/>
  <c r="P196" i="1"/>
  <c r="N196" i="1"/>
  <c r="L196" i="1"/>
  <c r="H196" i="1"/>
  <c r="U196" i="1" s="1"/>
  <c r="W195" i="1"/>
  <c r="R195" i="1"/>
  <c r="P195" i="1"/>
  <c r="N195" i="1"/>
  <c r="L195" i="1"/>
  <c r="H195" i="1"/>
  <c r="V195" i="1" s="1"/>
  <c r="W194" i="1"/>
  <c r="R194" i="1"/>
  <c r="P194" i="1"/>
  <c r="N194" i="1"/>
  <c r="L194" i="1"/>
  <c r="H194" i="1"/>
  <c r="V194" i="1" s="1"/>
  <c r="W193" i="1"/>
  <c r="R193" i="1"/>
  <c r="P193" i="1"/>
  <c r="N193" i="1"/>
  <c r="L193" i="1"/>
  <c r="H193" i="1"/>
  <c r="V193" i="1" s="1"/>
  <c r="W192" i="1"/>
  <c r="R192" i="1"/>
  <c r="P192" i="1"/>
  <c r="N192" i="1"/>
  <c r="L192" i="1"/>
  <c r="H192" i="1"/>
  <c r="V192" i="1" s="1"/>
  <c r="W191" i="1"/>
  <c r="R191" i="1"/>
  <c r="P191" i="1"/>
  <c r="N191" i="1"/>
  <c r="L191" i="1"/>
  <c r="H191" i="1"/>
  <c r="V191" i="1" s="1"/>
  <c r="W190" i="1"/>
  <c r="R190" i="1"/>
  <c r="P190" i="1"/>
  <c r="N190" i="1"/>
  <c r="L190" i="1"/>
  <c r="H190" i="1"/>
  <c r="V190" i="1" s="1"/>
  <c r="W189" i="1"/>
  <c r="R189" i="1"/>
  <c r="P189" i="1"/>
  <c r="N189" i="1"/>
  <c r="L189" i="1"/>
  <c r="H189" i="1"/>
  <c r="W188" i="1"/>
  <c r="R188" i="1"/>
  <c r="P188" i="1"/>
  <c r="N188" i="1"/>
  <c r="L188" i="1"/>
  <c r="H188" i="1"/>
  <c r="W187" i="1"/>
  <c r="R187" i="1"/>
  <c r="P187" i="1"/>
  <c r="N187" i="1"/>
  <c r="T187" i="1" s="1"/>
  <c r="L187" i="1"/>
  <c r="H187" i="1"/>
  <c r="V187" i="1" s="1"/>
  <c r="C187" i="1"/>
  <c r="C188" i="1" s="1"/>
  <c r="C189" i="1" s="1"/>
  <c r="C190" i="1" s="1"/>
  <c r="C191" i="1" s="1"/>
  <c r="C192" i="1" s="1"/>
  <c r="C193" i="1" s="1"/>
  <c r="C194" i="1" s="1"/>
  <c r="C195" i="1" s="1"/>
  <c r="C196" i="1" s="1"/>
  <c r="B187" i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W186" i="1"/>
  <c r="R186" i="1"/>
  <c r="P186" i="1"/>
  <c r="N186" i="1"/>
  <c r="L186" i="1"/>
  <c r="H186" i="1"/>
  <c r="V186" i="1" s="1"/>
  <c r="W185" i="1"/>
  <c r="R185" i="1"/>
  <c r="P185" i="1"/>
  <c r="N185" i="1"/>
  <c r="T185" i="1" s="1"/>
  <c r="L185" i="1"/>
  <c r="H185" i="1"/>
  <c r="V185" i="1" s="1"/>
  <c r="W184" i="1"/>
  <c r="R184" i="1"/>
  <c r="P184" i="1"/>
  <c r="N184" i="1"/>
  <c r="T184" i="1" s="1"/>
  <c r="L184" i="1"/>
  <c r="H184" i="1"/>
  <c r="V184" i="1" s="1"/>
  <c r="W183" i="1"/>
  <c r="R183" i="1"/>
  <c r="P183" i="1"/>
  <c r="N183" i="1"/>
  <c r="L183" i="1"/>
  <c r="H183" i="1"/>
  <c r="V183" i="1" s="1"/>
  <c r="W182" i="1"/>
  <c r="R182" i="1"/>
  <c r="P182" i="1"/>
  <c r="N182" i="1"/>
  <c r="T182" i="1" s="1"/>
  <c r="L182" i="1"/>
  <c r="H182" i="1"/>
  <c r="V182" i="1" s="1"/>
  <c r="W181" i="1"/>
  <c r="R181" i="1"/>
  <c r="P181" i="1"/>
  <c r="N181" i="1"/>
  <c r="L181" i="1"/>
  <c r="H181" i="1"/>
  <c r="V181" i="1" s="1"/>
  <c r="W180" i="1"/>
  <c r="R180" i="1"/>
  <c r="P180" i="1"/>
  <c r="N180" i="1"/>
  <c r="T180" i="1" s="1"/>
  <c r="L180" i="1"/>
  <c r="H180" i="1"/>
  <c r="V180" i="1" s="1"/>
  <c r="W179" i="1"/>
  <c r="R179" i="1"/>
  <c r="P179" i="1"/>
  <c r="N179" i="1"/>
  <c r="T179" i="1" s="1"/>
  <c r="L179" i="1"/>
  <c r="H179" i="1"/>
  <c r="W178" i="1"/>
  <c r="R178" i="1"/>
  <c r="P178" i="1"/>
  <c r="N178" i="1"/>
  <c r="L178" i="1"/>
  <c r="H178" i="1"/>
  <c r="C178" i="1"/>
  <c r="C179" i="1" s="1"/>
  <c r="C180" i="1" s="1"/>
  <c r="C181" i="1" s="1"/>
  <c r="C182" i="1" s="1"/>
  <c r="C183" i="1" s="1"/>
  <c r="C184" i="1" s="1"/>
  <c r="C185" i="1" s="1"/>
  <c r="W177" i="1"/>
  <c r="R177" i="1"/>
  <c r="P177" i="1"/>
  <c r="N177" i="1"/>
  <c r="T177" i="1" s="1"/>
  <c r="L177" i="1"/>
  <c r="H177" i="1"/>
  <c r="V177" i="1" s="1"/>
  <c r="W176" i="1"/>
  <c r="R176" i="1"/>
  <c r="P176" i="1"/>
  <c r="N176" i="1"/>
  <c r="L176" i="1"/>
  <c r="H176" i="1"/>
  <c r="U176" i="1" s="1"/>
  <c r="W175" i="1"/>
  <c r="R175" i="1"/>
  <c r="P175" i="1"/>
  <c r="N175" i="1"/>
  <c r="L175" i="1"/>
  <c r="H175" i="1"/>
  <c r="U175" i="1" s="1"/>
  <c r="W174" i="1"/>
  <c r="R174" i="1"/>
  <c r="P174" i="1"/>
  <c r="N174" i="1"/>
  <c r="L174" i="1"/>
  <c r="H174" i="1"/>
  <c r="V174" i="1" s="1"/>
  <c r="W173" i="1"/>
  <c r="R173" i="1"/>
  <c r="P173" i="1"/>
  <c r="N173" i="1"/>
  <c r="L173" i="1"/>
  <c r="H173" i="1"/>
  <c r="V173" i="1" s="1"/>
  <c r="W172" i="1"/>
  <c r="R172" i="1"/>
  <c r="P172" i="1"/>
  <c r="N172" i="1"/>
  <c r="L172" i="1"/>
  <c r="H172" i="1"/>
  <c r="W171" i="1"/>
  <c r="R171" i="1"/>
  <c r="P171" i="1"/>
  <c r="N171" i="1"/>
  <c r="L171" i="1"/>
  <c r="H171" i="1"/>
  <c r="V171" i="1" s="1"/>
  <c r="W170" i="1"/>
  <c r="R170" i="1"/>
  <c r="P170" i="1"/>
  <c r="N170" i="1"/>
  <c r="T170" i="1" s="1"/>
  <c r="L170" i="1"/>
  <c r="H170" i="1"/>
  <c r="V170" i="1" s="1"/>
  <c r="W169" i="1"/>
  <c r="R169" i="1"/>
  <c r="P169" i="1"/>
  <c r="N169" i="1"/>
  <c r="L169" i="1"/>
  <c r="H169" i="1"/>
  <c r="V169" i="1" s="1"/>
  <c r="W168" i="1"/>
  <c r="R168" i="1"/>
  <c r="P168" i="1"/>
  <c r="N168" i="1"/>
  <c r="T168" i="1" s="1"/>
  <c r="L168" i="1"/>
  <c r="H168" i="1"/>
  <c r="W167" i="1"/>
  <c r="R167" i="1"/>
  <c r="P167" i="1"/>
  <c r="N167" i="1"/>
  <c r="L167" i="1"/>
  <c r="H167" i="1"/>
  <c r="U167" i="1" s="1"/>
  <c r="W166" i="1"/>
  <c r="R166" i="1"/>
  <c r="P166" i="1"/>
  <c r="N166" i="1"/>
  <c r="T166" i="1" s="1"/>
  <c r="L166" i="1"/>
  <c r="H166" i="1"/>
  <c r="U166" i="1" s="1"/>
  <c r="W165" i="1"/>
  <c r="R165" i="1"/>
  <c r="P165" i="1"/>
  <c r="N165" i="1"/>
  <c r="L165" i="1"/>
  <c r="H165" i="1"/>
  <c r="V165" i="1" s="1"/>
  <c r="W164" i="1"/>
  <c r="R164" i="1"/>
  <c r="P164" i="1"/>
  <c r="N164" i="1"/>
  <c r="L164" i="1"/>
  <c r="H164" i="1"/>
  <c r="U164" i="1" s="1"/>
  <c r="W163" i="1"/>
  <c r="R163" i="1"/>
  <c r="P163" i="1"/>
  <c r="N163" i="1"/>
  <c r="L163" i="1"/>
  <c r="H163" i="1"/>
  <c r="U163" i="1" s="1"/>
  <c r="W162" i="1"/>
  <c r="R162" i="1"/>
  <c r="P162" i="1"/>
  <c r="N162" i="1"/>
  <c r="T162" i="1" s="1"/>
  <c r="L162" i="1"/>
  <c r="H162" i="1"/>
  <c r="U162" i="1" s="1"/>
  <c r="W161" i="1"/>
  <c r="R161" i="1"/>
  <c r="P161" i="1"/>
  <c r="N161" i="1"/>
  <c r="L161" i="1"/>
  <c r="H161" i="1"/>
  <c r="V161" i="1" s="1"/>
  <c r="W160" i="1"/>
  <c r="R160" i="1"/>
  <c r="P160" i="1"/>
  <c r="N160" i="1"/>
  <c r="T160" i="1" s="1"/>
  <c r="L160" i="1"/>
  <c r="H160" i="1"/>
  <c r="W159" i="1"/>
  <c r="R159" i="1"/>
  <c r="P159" i="1"/>
  <c r="N159" i="1"/>
  <c r="L159" i="1"/>
  <c r="H159" i="1"/>
  <c r="V159" i="1" s="1"/>
  <c r="C159" i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W158" i="1"/>
  <c r="R158" i="1"/>
  <c r="P158" i="1"/>
  <c r="N158" i="1"/>
  <c r="L158" i="1"/>
  <c r="H158" i="1"/>
  <c r="V158" i="1" s="1"/>
  <c r="W157" i="1"/>
  <c r="R157" i="1"/>
  <c r="P157" i="1"/>
  <c r="N157" i="1"/>
  <c r="T157" i="1" s="1"/>
  <c r="L157" i="1"/>
  <c r="H157" i="1"/>
  <c r="W156" i="1"/>
  <c r="R156" i="1"/>
  <c r="P156" i="1"/>
  <c r="N156" i="1"/>
  <c r="T156" i="1" s="1"/>
  <c r="L156" i="1"/>
  <c r="H156" i="1"/>
  <c r="U156" i="1" s="1"/>
  <c r="W155" i="1"/>
  <c r="R155" i="1"/>
  <c r="P155" i="1"/>
  <c r="N155" i="1"/>
  <c r="T155" i="1" s="1"/>
  <c r="L155" i="1"/>
  <c r="H155" i="1"/>
  <c r="V155" i="1" s="1"/>
  <c r="W154" i="1"/>
  <c r="R154" i="1"/>
  <c r="P154" i="1"/>
  <c r="N154" i="1"/>
  <c r="T154" i="1" s="1"/>
  <c r="L154" i="1"/>
  <c r="H154" i="1"/>
  <c r="V154" i="1" s="1"/>
  <c r="W153" i="1"/>
  <c r="R153" i="1"/>
  <c r="P153" i="1"/>
  <c r="N153" i="1"/>
  <c r="T153" i="1" s="1"/>
  <c r="L153" i="1"/>
  <c r="H153" i="1"/>
  <c r="U153" i="1" s="1"/>
  <c r="W152" i="1"/>
  <c r="R152" i="1"/>
  <c r="P152" i="1"/>
  <c r="N152" i="1"/>
  <c r="L152" i="1"/>
  <c r="H152" i="1"/>
  <c r="U152" i="1" s="1"/>
  <c r="W151" i="1"/>
  <c r="R151" i="1"/>
  <c r="P151" i="1"/>
  <c r="N151" i="1"/>
  <c r="T151" i="1" s="1"/>
  <c r="L151" i="1"/>
  <c r="H151" i="1"/>
  <c r="V151" i="1" s="1"/>
  <c r="W150" i="1"/>
  <c r="R150" i="1"/>
  <c r="P150" i="1"/>
  <c r="N150" i="1"/>
  <c r="T150" i="1" s="1"/>
  <c r="L150" i="1"/>
  <c r="H150" i="1"/>
  <c r="V150" i="1" s="1"/>
  <c r="W149" i="1"/>
  <c r="R149" i="1"/>
  <c r="P149" i="1"/>
  <c r="N149" i="1"/>
  <c r="L149" i="1"/>
  <c r="H149" i="1"/>
  <c r="W148" i="1"/>
  <c r="R148" i="1"/>
  <c r="P148" i="1"/>
  <c r="N148" i="1"/>
  <c r="T148" i="1" s="1"/>
  <c r="L148" i="1"/>
  <c r="H148" i="1"/>
  <c r="V148" i="1" s="1"/>
  <c r="C148" i="1"/>
  <c r="C149" i="1" s="1"/>
  <c r="C150" i="1" s="1"/>
  <c r="C151" i="1" s="1"/>
  <c r="C152" i="1" s="1"/>
  <c r="C153" i="1" s="1"/>
  <c r="C154" i="1" s="1"/>
  <c r="C155" i="1" s="1"/>
  <c r="C156" i="1" s="1"/>
  <c r="C157" i="1" s="1"/>
  <c r="W147" i="1"/>
  <c r="R147" i="1"/>
  <c r="P147" i="1"/>
  <c r="N147" i="1"/>
  <c r="L147" i="1"/>
  <c r="H147" i="1"/>
  <c r="V147" i="1" s="1"/>
  <c r="W146" i="1"/>
  <c r="R146" i="1"/>
  <c r="P146" i="1"/>
  <c r="N146" i="1"/>
  <c r="T146" i="1" s="1"/>
  <c r="L146" i="1"/>
  <c r="H146" i="1"/>
  <c r="W145" i="1"/>
  <c r="R145" i="1"/>
  <c r="P145" i="1"/>
  <c r="N145" i="1"/>
  <c r="L145" i="1"/>
  <c r="H145" i="1"/>
  <c r="U145" i="1" s="1"/>
  <c r="W144" i="1"/>
  <c r="R144" i="1"/>
  <c r="P144" i="1"/>
  <c r="N144" i="1"/>
  <c r="T144" i="1" s="1"/>
  <c r="L144" i="1"/>
  <c r="H144" i="1"/>
  <c r="V144" i="1" s="1"/>
  <c r="W143" i="1"/>
  <c r="R143" i="1"/>
  <c r="P143" i="1"/>
  <c r="N143" i="1"/>
  <c r="T143" i="1" s="1"/>
  <c r="L143" i="1"/>
  <c r="H143" i="1"/>
  <c r="U143" i="1" s="1"/>
  <c r="W142" i="1"/>
  <c r="R142" i="1"/>
  <c r="P142" i="1"/>
  <c r="N142" i="1"/>
  <c r="T142" i="1" s="1"/>
  <c r="L142" i="1"/>
  <c r="H142" i="1"/>
  <c r="U142" i="1" s="1"/>
  <c r="W141" i="1"/>
  <c r="R141" i="1"/>
  <c r="P141" i="1"/>
  <c r="N141" i="1"/>
  <c r="T141" i="1" s="1"/>
  <c r="L141" i="1"/>
  <c r="H141" i="1"/>
  <c r="U141" i="1" s="1"/>
  <c r="W140" i="1"/>
  <c r="R140" i="1"/>
  <c r="P140" i="1"/>
  <c r="N140" i="1"/>
  <c r="T140" i="1" s="1"/>
  <c r="L140" i="1"/>
  <c r="H140" i="1"/>
  <c r="V140" i="1" s="1"/>
  <c r="W139" i="1"/>
  <c r="R139" i="1"/>
  <c r="P139" i="1"/>
  <c r="N139" i="1"/>
  <c r="T139" i="1" s="1"/>
  <c r="L139" i="1"/>
  <c r="H139" i="1"/>
  <c r="V139" i="1" s="1"/>
  <c r="W138" i="1"/>
  <c r="R138" i="1"/>
  <c r="P138" i="1"/>
  <c r="N138" i="1"/>
  <c r="L138" i="1"/>
  <c r="H138" i="1"/>
  <c r="W137" i="1"/>
  <c r="R137" i="1"/>
  <c r="P137" i="1"/>
  <c r="N137" i="1"/>
  <c r="L137" i="1"/>
  <c r="H137" i="1"/>
  <c r="V137" i="1" s="1"/>
  <c r="W136" i="1"/>
  <c r="R136" i="1"/>
  <c r="P136" i="1"/>
  <c r="N136" i="1"/>
  <c r="T136" i="1" s="1"/>
  <c r="L136" i="1"/>
  <c r="H136" i="1"/>
  <c r="V136" i="1" s="1"/>
  <c r="W135" i="1"/>
  <c r="R135" i="1"/>
  <c r="P135" i="1"/>
  <c r="N135" i="1"/>
  <c r="T135" i="1" s="1"/>
  <c r="L135" i="1"/>
  <c r="H135" i="1"/>
  <c r="V135" i="1" s="1"/>
  <c r="W134" i="1"/>
  <c r="R134" i="1"/>
  <c r="P134" i="1"/>
  <c r="N134" i="1"/>
  <c r="T134" i="1" s="1"/>
  <c r="L134" i="1"/>
  <c r="H134" i="1"/>
  <c r="W133" i="1"/>
  <c r="R133" i="1"/>
  <c r="P133" i="1"/>
  <c r="N133" i="1"/>
  <c r="T133" i="1" s="1"/>
  <c r="L133" i="1"/>
  <c r="H133" i="1"/>
  <c r="U133" i="1" s="1"/>
  <c r="W132" i="1"/>
  <c r="R132" i="1"/>
  <c r="P132" i="1"/>
  <c r="N132" i="1"/>
  <c r="T132" i="1" s="1"/>
  <c r="L132" i="1"/>
  <c r="H132" i="1"/>
  <c r="U132" i="1" s="1"/>
  <c r="W131" i="1"/>
  <c r="R131" i="1"/>
  <c r="P131" i="1"/>
  <c r="N131" i="1"/>
  <c r="T131" i="1" s="1"/>
  <c r="L131" i="1"/>
  <c r="H131" i="1"/>
  <c r="V131" i="1" s="1"/>
  <c r="C131" i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W130" i="1"/>
  <c r="R130" i="1"/>
  <c r="P130" i="1"/>
  <c r="N130" i="1"/>
  <c r="L130" i="1"/>
  <c r="H130" i="1"/>
  <c r="U130" i="1" s="1"/>
  <c r="W129" i="1"/>
  <c r="R129" i="1"/>
  <c r="P129" i="1"/>
  <c r="N129" i="1"/>
  <c r="L129" i="1"/>
  <c r="H129" i="1"/>
  <c r="V129" i="1" s="1"/>
  <c r="W128" i="1"/>
  <c r="R128" i="1"/>
  <c r="P128" i="1"/>
  <c r="N128" i="1"/>
  <c r="T128" i="1" s="1"/>
  <c r="L128" i="1"/>
  <c r="H128" i="1"/>
  <c r="V128" i="1" s="1"/>
  <c r="W127" i="1"/>
  <c r="R127" i="1"/>
  <c r="P127" i="1"/>
  <c r="N127" i="1"/>
  <c r="T127" i="1" s="1"/>
  <c r="L127" i="1"/>
  <c r="H127" i="1"/>
  <c r="W126" i="1"/>
  <c r="R126" i="1"/>
  <c r="P126" i="1"/>
  <c r="N126" i="1"/>
  <c r="T126" i="1" s="1"/>
  <c r="L126" i="1"/>
  <c r="H126" i="1"/>
  <c r="W125" i="1"/>
  <c r="R125" i="1"/>
  <c r="P125" i="1"/>
  <c r="N125" i="1"/>
  <c r="T125" i="1" s="1"/>
  <c r="L125" i="1"/>
  <c r="H125" i="1"/>
  <c r="U125" i="1" s="1"/>
  <c r="W124" i="1"/>
  <c r="R124" i="1"/>
  <c r="P124" i="1"/>
  <c r="N124" i="1"/>
  <c r="T124" i="1" s="1"/>
  <c r="L124" i="1"/>
  <c r="H124" i="1"/>
  <c r="V124" i="1" s="1"/>
  <c r="W123" i="1"/>
  <c r="R123" i="1"/>
  <c r="P123" i="1"/>
  <c r="N123" i="1"/>
  <c r="L123" i="1"/>
  <c r="H123" i="1"/>
  <c r="W122" i="1"/>
  <c r="V122" i="1"/>
  <c r="R122" i="1"/>
  <c r="P122" i="1"/>
  <c r="N122" i="1"/>
  <c r="L122" i="1"/>
  <c r="H122" i="1"/>
  <c r="U122" i="1" s="1"/>
  <c r="C122" i="1"/>
  <c r="C123" i="1" s="1"/>
  <c r="C124" i="1" s="1"/>
  <c r="C125" i="1" s="1"/>
  <c r="C126" i="1" s="1"/>
  <c r="C127" i="1" s="1"/>
  <c r="C128" i="1" s="1"/>
  <c r="C129" i="1" s="1"/>
  <c r="W121" i="1"/>
  <c r="R121" i="1"/>
  <c r="P121" i="1"/>
  <c r="N121" i="1"/>
  <c r="L121" i="1"/>
  <c r="H121" i="1"/>
  <c r="U121" i="1" s="1"/>
  <c r="W120" i="1"/>
  <c r="R120" i="1"/>
  <c r="P120" i="1"/>
  <c r="N120" i="1"/>
  <c r="T120" i="1" s="1"/>
  <c r="L120" i="1"/>
  <c r="H120" i="1"/>
  <c r="U120" i="1" s="1"/>
  <c r="W119" i="1"/>
  <c r="R119" i="1"/>
  <c r="P119" i="1"/>
  <c r="N119" i="1"/>
  <c r="T119" i="1" s="1"/>
  <c r="L119" i="1"/>
  <c r="H119" i="1"/>
  <c r="U119" i="1" s="1"/>
  <c r="W118" i="1"/>
  <c r="R118" i="1"/>
  <c r="P118" i="1"/>
  <c r="N118" i="1"/>
  <c r="T118" i="1" s="1"/>
  <c r="L118" i="1"/>
  <c r="H118" i="1"/>
  <c r="V118" i="1" s="1"/>
  <c r="W117" i="1"/>
  <c r="R117" i="1"/>
  <c r="P117" i="1"/>
  <c r="N117" i="1"/>
  <c r="T117" i="1" s="1"/>
  <c r="L117" i="1"/>
  <c r="H117" i="1"/>
  <c r="W116" i="1"/>
  <c r="R116" i="1"/>
  <c r="P116" i="1"/>
  <c r="N116" i="1"/>
  <c r="T116" i="1" s="1"/>
  <c r="L116" i="1"/>
  <c r="H116" i="1"/>
  <c r="W115" i="1"/>
  <c r="R115" i="1"/>
  <c r="P115" i="1"/>
  <c r="N115" i="1"/>
  <c r="T115" i="1" s="1"/>
  <c r="L115" i="1"/>
  <c r="H115" i="1"/>
  <c r="V115" i="1" s="1"/>
  <c r="W114" i="1"/>
  <c r="R114" i="1"/>
  <c r="P114" i="1"/>
  <c r="N114" i="1"/>
  <c r="L114" i="1"/>
  <c r="H114" i="1"/>
  <c r="V114" i="1" s="1"/>
  <c r="W113" i="1"/>
  <c r="R113" i="1"/>
  <c r="P113" i="1"/>
  <c r="N113" i="1"/>
  <c r="T113" i="1" s="1"/>
  <c r="L113" i="1"/>
  <c r="H113" i="1"/>
  <c r="U113" i="1" s="1"/>
  <c r="W112" i="1"/>
  <c r="R112" i="1"/>
  <c r="P112" i="1"/>
  <c r="N112" i="1"/>
  <c r="T112" i="1" s="1"/>
  <c r="L112" i="1"/>
  <c r="H112" i="1"/>
  <c r="V112" i="1" s="1"/>
  <c r="W111" i="1"/>
  <c r="R111" i="1"/>
  <c r="P111" i="1"/>
  <c r="N111" i="1"/>
  <c r="T111" i="1" s="1"/>
  <c r="L111" i="1"/>
  <c r="H111" i="1"/>
  <c r="V111" i="1" s="1"/>
  <c r="W110" i="1"/>
  <c r="R110" i="1"/>
  <c r="P110" i="1"/>
  <c r="N110" i="1"/>
  <c r="L110" i="1"/>
  <c r="H110" i="1"/>
  <c r="V110" i="1" s="1"/>
  <c r="W109" i="1"/>
  <c r="R109" i="1"/>
  <c r="P109" i="1"/>
  <c r="N109" i="1"/>
  <c r="T109" i="1" s="1"/>
  <c r="L109" i="1"/>
  <c r="H109" i="1"/>
  <c r="U109" i="1" s="1"/>
  <c r="W108" i="1"/>
  <c r="R108" i="1"/>
  <c r="P108" i="1"/>
  <c r="N108" i="1"/>
  <c r="T108" i="1" s="1"/>
  <c r="L108" i="1"/>
  <c r="H108" i="1"/>
  <c r="U108" i="1" s="1"/>
  <c r="W107" i="1"/>
  <c r="R107" i="1"/>
  <c r="P107" i="1"/>
  <c r="N107" i="1"/>
  <c r="T107" i="1" s="1"/>
  <c r="L107" i="1"/>
  <c r="H107" i="1"/>
  <c r="V107" i="1" s="1"/>
  <c r="C107" i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W106" i="1"/>
  <c r="R106" i="1"/>
  <c r="P106" i="1"/>
  <c r="N106" i="1"/>
  <c r="L106" i="1"/>
  <c r="H106" i="1"/>
  <c r="V106" i="1" s="1"/>
  <c r="W105" i="1"/>
  <c r="R105" i="1"/>
  <c r="P105" i="1"/>
  <c r="N105" i="1"/>
  <c r="L105" i="1"/>
  <c r="H105" i="1"/>
  <c r="W104" i="1"/>
  <c r="R104" i="1"/>
  <c r="P104" i="1"/>
  <c r="N104" i="1"/>
  <c r="T104" i="1" s="1"/>
  <c r="L104" i="1"/>
  <c r="H104" i="1"/>
  <c r="V104" i="1" s="1"/>
  <c r="W103" i="1"/>
  <c r="R103" i="1"/>
  <c r="P103" i="1"/>
  <c r="N103" i="1"/>
  <c r="L103" i="1"/>
  <c r="H103" i="1"/>
  <c r="U103" i="1" s="1"/>
  <c r="W102" i="1"/>
  <c r="R102" i="1"/>
  <c r="P102" i="1"/>
  <c r="N102" i="1"/>
  <c r="L102" i="1"/>
  <c r="H102" i="1"/>
  <c r="U102" i="1" s="1"/>
  <c r="W101" i="1"/>
  <c r="R101" i="1"/>
  <c r="P101" i="1"/>
  <c r="N101" i="1"/>
  <c r="L101" i="1"/>
  <c r="H101" i="1"/>
  <c r="U101" i="1" s="1"/>
  <c r="W100" i="1"/>
  <c r="R100" i="1"/>
  <c r="P100" i="1"/>
  <c r="T100" i="1" s="1"/>
  <c r="N100" i="1"/>
  <c r="L100" i="1"/>
  <c r="H100" i="1"/>
  <c r="W99" i="1"/>
  <c r="R99" i="1"/>
  <c r="P99" i="1"/>
  <c r="N99" i="1"/>
  <c r="L99" i="1"/>
  <c r="H99" i="1"/>
  <c r="V99" i="1" s="1"/>
  <c r="W98" i="1"/>
  <c r="R98" i="1"/>
  <c r="P98" i="1"/>
  <c r="N98" i="1"/>
  <c r="T98" i="1" s="1"/>
  <c r="L98" i="1"/>
  <c r="H98" i="1"/>
  <c r="U98" i="1" s="1"/>
  <c r="W97" i="1"/>
  <c r="R97" i="1"/>
  <c r="P97" i="1"/>
  <c r="N97" i="1"/>
  <c r="L97" i="1"/>
  <c r="H97" i="1"/>
  <c r="U97" i="1" s="1"/>
  <c r="W96" i="1"/>
  <c r="R96" i="1"/>
  <c r="P96" i="1"/>
  <c r="N96" i="1"/>
  <c r="L96" i="1"/>
  <c r="H96" i="1"/>
  <c r="V96" i="1" s="1"/>
  <c r="W95" i="1"/>
  <c r="R95" i="1"/>
  <c r="P95" i="1"/>
  <c r="N95" i="1"/>
  <c r="L95" i="1"/>
  <c r="H95" i="1"/>
  <c r="V95" i="1" s="1"/>
  <c r="W94" i="1"/>
  <c r="R94" i="1"/>
  <c r="P94" i="1"/>
  <c r="N94" i="1"/>
  <c r="T94" i="1" s="1"/>
  <c r="L94" i="1"/>
  <c r="H94" i="1"/>
  <c r="W93" i="1"/>
  <c r="T93" i="1"/>
  <c r="R93" i="1"/>
  <c r="P93" i="1"/>
  <c r="N93" i="1"/>
  <c r="L93" i="1"/>
  <c r="H93" i="1"/>
  <c r="W92" i="1"/>
  <c r="R92" i="1"/>
  <c r="P92" i="1"/>
  <c r="N92" i="1"/>
  <c r="L92" i="1"/>
  <c r="H92" i="1"/>
  <c r="U92" i="1" s="1"/>
  <c r="C92" i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W91" i="1"/>
  <c r="R91" i="1"/>
  <c r="P91" i="1"/>
  <c r="N91" i="1"/>
  <c r="L91" i="1"/>
  <c r="H91" i="1"/>
  <c r="U91" i="1" s="1"/>
  <c r="W90" i="1"/>
  <c r="R90" i="1"/>
  <c r="P90" i="1"/>
  <c r="N90" i="1"/>
  <c r="T90" i="1" s="1"/>
  <c r="L90" i="1"/>
  <c r="H90" i="1"/>
  <c r="V90" i="1" s="1"/>
  <c r="W89" i="1"/>
  <c r="R89" i="1"/>
  <c r="P89" i="1"/>
  <c r="N89" i="1"/>
  <c r="T89" i="1" s="1"/>
  <c r="L89" i="1"/>
  <c r="H89" i="1"/>
  <c r="V89" i="1" s="1"/>
  <c r="W88" i="1"/>
  <c r="R88" i="1"/>
  <c r="P88" i="1"/>
  <c r="N88" i="1"/>
  <c r="T88" i="1" s="1"/>
  <c r="L88" i="1"/>
  <c r="H88" i="1"/>
  <c r="U88" i="1" s="1"/>
  <c r="W87" i="1"/>
  <c r="R87" i="1"/>
  <c r="P87" i="1"/>
  <c r="N87" i="1"/>
  <c r="T87" i="1" s="1"/>
  <c r="L87" i="1"/>
  <c r="H87" i="1"/>
  <c r="U87" i="1" s="1"/>
  <c r="W86" i="1"/>
  <c r="R86" i="1"/>
  <c r="P86" i="1"/>
  <c r="N86" i="1"/>
  <c r="T86" i="1" s="1"/>
  <c r="L86" i="1"/>
  <c r="H86" i="1"/>
  <c r="U86" i="1" s="1"/>
  <c r="C86" i="1"/>
  <c r="C87" i="1" s="1"/>
  <c r="C88" i="1" s="1"/>
  <c r="C89" i="1" s="1"/>
  <c r="C90" i="1" s="1"/>
  <c r="W85" i="1"/>
  <c r="R85" i="1"/>
  <c r="P85" i="1"/>
  <c r="N85" i="1"/>
  <c r="T85" i="1" s="1"/>
  <c r="L85" i="1"/>
  <c r="H85" i="1"/>
  <c r="V85" i="1" s="1"/>
  <c r="W84" i="1"/>
  <c r="R84" i="1"/>
  <c r="P84" i="1"/>
  <c r="N84" i="1"/>
  <c r="L84" i="1"/>
  <c r="H84" i="1"/>
  <c r="W83" i="1"/>
  <c r="R83" i="1"/>
  <c r="P83" i="1"/>
  <c r="N83" i="1"/>
  <c r="L83" i="1"/>
  <c r="H83" i="1"/>
  <c r="W82" i="1"/>
  <c r="R82" i="1"/>
  <c r="P82" i="1"/>
  <c r="N82" i="1"/>
  <c r="L82" i="1"/>
  <c r="H82" i="1"/>
  <c r="V82" i="1" s="1"/>
  <c r="W81" i="1"/>
  <c r="R81" i="1"/>
  <c r="P81" i="1"/>
  <c r="N81" i="1"/>
  <c r="L81" i="1"/>
  <c r="H81" i="1"/>
  <c r="U81" i="1" s="1"/>
  <c r="W80" i="1"/>
  <c r="R80" i="1"/>
  <c r="P80" i="1"/>
  <c r="N80" i="1"/>
  <c r="T80" i="1" s="1"/>
  <c r="L80" i="1"/>
  <c r="H80" i="1"/>
  <c r="U80" i="1" s="1"/>
  <c r="W79" i="1"/>
  <c r="R79" i="1"/>
  <c r="P79" i="1"/>
  <c r="N79" i="1"/>
  <c r="T79" i="1" s="1"/>
  <c r="L79" i="1"/>
  <c r="H79" i="1"/>
  <c r="V79" i="1" s="1"/>
  <c r="W78" i="1"/>
  <c r="R78" i="1"/>
  <c r="P78" i="1"/>
  <c r="N78" i="1"/>
  <c r="L78" i="1"/>
  <c r="H78" i="1"/>
  <c r="U78" i="1" s="1"/>
  <c r="W77" i="1"/>
  <c r="R77" i="1"/>
  <c r="P77" i="1"/>
  <c r="N77" i="1"/>
  <c r="T77" i="1" s="1"/>
  <c r="L77" i="1"/>
  <c r="H77" i="1"/>
  <c r="U77" i="1" s="1"/>
  <c r="W76" i="1"/>
  <c r="R76" i="1"/>
  <c r="P76" i="1"/>
  <c r="N76" i="1"/>
  <c r="L76" i="1"/>
  <c r="H76" i="1"/>
  <c r="U76" i="1" s="1"/>
  <c r="W75" i="1"/>
  <c r="R75" i="1"/>
  <c r="P75" i="1"/>
  <c r="N75" i="1"/>
  <c r="L75" i="1"/>
  <c r="H75" i="1"/>
  <c r="U75" i="1" s="1"/>
  <c r="W74" i="1"/>
  <c r="R74" i="1"/>
  <c r="P74" i="1"/>
  <c r="N74" i="1"/>
  <c r="L74" i="1"/>
  <c r="H74" i="1"/>
  <c r="U74" i="1" s="1"/>
  <c r="C74" i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W73" i="1"/>
  <c r="R73" i="1"/>
  <c r="P73" i="1"/>
  <c r="N73" i="1"/>
  <c r="L73" i="1"/>
  <c r="H73" i="1"/>
  <c r="V73" i="1" s="1"/>
  <c r="W72" i="1"/>
  <c r="R72" i="1"/>
  <c r="P72" i="1"/>
  <c r="N72" i="1"/>
  <c r="L72" i="1"/>
  <c r="H72" i="1"/>
  <c r="W71" i="1"/>
  <c r="R71" i="1"/>
  <c r="P71" i="1"/>
  <c r="N71" i="1"/>
  <c r="T71" i="1" s="1"/>
  <c r="L71" i="1"/>
  <c r="H71" i="1"/>
  <c r="U71" i="1" s="1"/>
  <c r="W70" i="1"/>
  <c r="R70" i="1"/>
  <c r="P70" i="1"/>
  <c r="N70" i="1"/>
  <c r="T70" i="1" s="1"/>
  <c r="L70" i="1"/>
  <c r="H70" i="1"/>
  <c r="V70" i="1" s="1"/>
  <c r="W69" i="1"/>
  <c r="R69" i="1"/>
  <c r="P69" i="1"/>
  <c r="N69" i="1"/>
  <c r="T69" i="1" s="1"/>
  <c r="L69" i="1"/>
  <c r="H69" i="1"/>
  <c r="V69" i="1" s="1"/>
  <c r="W68" i="1"/>
  <c r="R68" i="1"/>
  <c r="P68" i="1"/>
  <c r="N68" i="1"/>
  <c r="T68" i="1" s="1"/>
  <c r="L68" i="1"/>
  <c r="H68" i="1"/>
  <c r="U68" i="1" s="1"/>
  <c r="W67" i="1"/>
  <c r="R67" i="1"/>
  <c r="P67" i="1"/>
  <c r="N67" i="1"/>
  <c r="T67" i="1" s="1"/>
  <c r="L67" i="1"/>
  <c r="H67" i="1"/>
  <c r="U67" i="1" s="1"/>
  <c r="W66" i="1"/>
  <c r="R66" i="1"/>
  <c r="P66" i="1"/>
  <c r="N66" i="1"/>
  <c r="T66" i="1" s="1"/>
  <c r="L66" i="1"/>
  <c r="H66" i="1"/>
  <c r="V66" i="1" s="1"/>
  <c r="W65" i="1"/>
  <c r="R65" i="1"/>
  <c r="P65" i="1"/>
  <c r="N65" i="1"/>
  <c r="T65" i="1" s="1"/>
  <c r="L65" i="1"/>
  <c r="H65" i="1"/>
  <c r="U65" i="1" s="1"/>
  <c r="W64" i="1"/>
  <c r="R64" i="1"/>
  <c r="P64" i="1"/>
  <c r="N64" i="1"/>
  <c r="T64" i="1" s="1"/>
  <c r="L64" i="1"/>
  <c r="H64" i="1"/>
  <c r="U64" i="1" s="1"/>
  <c r="W63" i="1"/>
  <c r="R63" i="1"/>
  <c r="P63" i="1"/>
  <c r="N63" i="1"/>
  <c r="T63" i="1" s="1"/>
  <c r="L63" i="1"/>
  <c r="H63" i="1"/>
  <c r="V63" i="1" s="1"/>
  <c r="W62" i="1"/>
  <c r="R62" i="1"/>
  <c r="P62" i="1"/>
  <c r="N62" i="1"/>
  <c r="T62" i="1" s="1"/>
  <c r="L62" i="1"/>
  <c r="H62" i="1"/>
  <c r="V62" i="1" s="1"/>
  <c r="W61" i="1"/>
  <c r="R61" i="1"/>
  <c r="P61" i="1"/>
  <c r="N61" i="1"/>
  <c r="L61" i="1"/>
  <c r="H61" i="1"/>
  <c r="C61" i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W60" i="1"/>
  <c r="R60" i="1"/>
  <c r="P60" i="1"/>
  <c r="N60" i="1"/>
  <c r="L60" i="1"/>
  <c r="H60" i="1"/>
  <c r="W59" i="1"/>
  <c r="R59" i="1"/>
  <c r="P59" i="1"/>
  <c r="N59" i="1"/>
  <c r="T59" i="1" s="1"/>
  <c r="L59" i="1"/>
  <c r="H59" i="1"/>
  <c r="V59" i="1" s="1"/>
  <c r="W58" i="1"/>
  <c r="R58" i="1"/>
  <c r="P58" i="1"/>
  <c r="N58" i="1"/>
  <c r="L58" i="1"/>
  <c r="H58" i="1"/>
  <c r="U58" i="1" s="1"/>
  <c r="W57" i="1"/>
  <c r="R57" i="1"/>
  <c r="P57" i="1"/>
  <c r="N57" i="1"/>
  <c r="L57" i="1"/>
  <c r="H57" i="1"/>
  <c r="V57" i="1" s="1"/>
  <c r="W56" i="1"/>
  <c r="R56" i="1"/>
  <c r="P56" i="1"/>
  <c r="N56" i="1"/>
  <c r="L56" i="1"/>
  <c r="H56" i="1"/>
  <c r="U56" i="1" s="1"/>
  <c r="W55" i="1"/>
  <c r="R55" i="1"/>
  <c r="P55" i="1"/>
  <c r="N55" i="1"/>
  <c r="L55" i="1"/>
  <c r="H55" i="1"/>
  <c r="V55" i="1" s="1"/>
  <c r="W54" i="1"/>
  <c r="R54" i="1"/>
  <c r="P54" i="1"/>
  <c r="N54" i="1"/>
  <c r="T54" i="1" s="1"/>
  <c r="L54" i="1"/>
  <c r="H54" i="1"/>
  <c r="U54" i="1" s="1"/>
  <c r="W53" i="1"/>
  <c r="R53" i="1"/>
  <c r="P53" i="1"/>
  <c r="N53" i="1"/>
  <c r="T53" i="1" s="1"/>
  <c r="L53" i="1"/>
  <c r="H53" i="1"/>
  <c r="V53" i="1" s="1"/>
  <c r="C53" i="1"/>
  <c r="C54" i="1" s="1"/>
  <c r="C55" i="1" s="1"/>
  <c r="C56" i="1" s="1"/>
  <c r="C57" i="1" s="1"/>
  <c r="C58" i="1" s="1"/>
  <c r="C59" i="1" s="1"/>
  <c r="W52" i="1"/>
  <c r="R52" i="1"/>
  <c r="P52" i="1"/>
  <c r="N52" i="1"/>
  <c r="T52" i="1" s="1"/>
  <c r="L52" i="1"/>
  <c r="H52" i="1"/>
  <c r="U52" i="1" s="1"/>
  <c r="W51" i="1"/>
  <c r="R51" i="1"/>
  <c r="P51" i="1"/>
  <c r="N51" i="1"/>
  <c r="L51" i="1"/>
  <c r="H51" i="1"/>
  <c r="W50" i="1"/>
  <c r="R50" i="1"/>
  <c r="P50" i="1"/>
  <c r="N50" i="1"/>
  <c r="T50" i="1" s="1"/>
  <c r="L50" i="1"/>
  <c r="H50" i="1"/>
  <c r="W49" i="1"/>
  <c r="R49" i="1"/>
  <c r="P49" i="1"/>
  <c r="N49" i="1"/>
  <c r="T49" i="1" s="1"/>
  <c r="L49" i="1"/>
  <c r="H49" i="1"/>
  <c r="V49" i="1" s="1"/>
  <c r="W48" i="1"/>
  <c r="R48" i="1"/>
  <c r="P48" i="1"/>
  <c r="N48" i="1"/>
  <c r="T48" i="1" s="1"/>
  <c r="L48" i="1"/>
  <c r="H48" i="1"/>
  <c r="V48" i="1" s="1"/>
  <c r="W47" i="1"/>
  <c r="R47" i="1"/>
  <c r="P47" i="1"/>
  <c r="N47" i="1"/>
  <c r="T47" i="1" s="1"/>
  <c r="L47" i="1"/>
  <c r="H47" i="1"/>
  <c r="V47" i="1" s="1"/>
  <c r="W46" i="1"/>
  <c r="R46" i="1"/>
  <c r="P46" i="1"/>
  <c r="N46" i="1"/>
  <c r="T46" i="1" s="1"/>
  <c r="L46" i="1"/>
  <c r="H46" i="1"/>
  <c r="V46" i="1" s="1"/>
  <c r="W45" i="1"/>
  <c r="R45" i="1"/>
  <c r="P45" i="1"/>
  <c r="N45" i="1"/>
  <c r="T45" i="1" s="1"/>
  <c r="L45" i="1"/>
  <c r="H45" i="1"/>
  <c r="U45" i="1" s="1"/>
  <c r="W44" i="1"/>
  <c r="R44" i="1"/>
  <c r="P44" i="1"/>
  <c r="N44" i="1"/>
  <c r="T44" i="1" s="1"/>
  <c r="L44" i="1"/>
  <c r="H44" i="1"/>
  <c r="V44" i="1" s="1"/>
  <c r="W43" i="1"/>
  <c r="R43" i="1"/>
  <c r="P43" i="1"/>
  <c r="N43" i="1"/>
  <c r="T43" i="1" s="1"/>
  <c r="L43" i="1"/>
  <c r="H43" i="1"/>
  <c r="V43" i="1" s="1"/>
  <c r="W42" i="1"/>
  <c r="R42" i="1"/>
  <c r="P42" i="1"/>
  <c r="N42" i="1"/>
  <c r="T42" i="1" s="1"/>
  <c r="L42" i="1"/>
  <c r="H42" i="1"/>
  <c r="U42" i="1" s="1"/>
  <c r="W41" i="1"/>
  <c r="R41" i="1"/>
  <c r="P41" i="1"/>
  <c r="N41" i="1"/>
  <c r="T41" i="1" s="1"/>
  <c r="L41" i="1"/>
  <c r="H41" i="1"/>
  <c r="V41" i="1" s="1"/>
  <c r="W40" i="1"/>
  <c r="R40" i="1"/>
  <c r="P40" i="1"/>
  <c r="N40" i="1"/>
  <c r="T40" i="1" s="1"/>
  <c r="L40" i="1"/>
  <c r="H40" i="1"/>
  <c r="V40" i="1" s="1"/>
  <c r="W39" i="1"/>
  <c r="R39" i="1"/>
  <c r="P39" i="1"/>
  <c r="N39" i="1"/>
  <c r="T39" i="1" s="1"/>
  <c r="L39" i="1"/>
  <c r="H39" i="1"/>
  <c r="C39" i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W38" i="1"/>
  <c r="R38" i="1"/>
  <c r="P38" i="1"/>
  <c r="N38" i="1"/>
  <c r="T38" i="1" s="1"/>
  <c r="L38" i="1"/>
  <c r="H38" i="1"/>
  <c r="U38" i="1" s="1"/>
  <c r="W37" i="1"/>
  <c r="R37" i="1"/>
  <c r="P37" i="1"/>
  <c r="N37" i="1"/>
  <c r="T37" i="1" s="1"/>
  <c r="L37" i="1"/>
  <c r="H37" i="1"/>
  <c r="U37" i="1" s="1"/>
  <c r="W36" i="1"/>
  <c r="R36" i="1"/>
  <c r="P36" i="1"/>
  <c r="N36" i="1"/>
  <c r="T36" i="1" s="1"/>
  <c r="L36" i="1"/>
  <c r="H36" i="1"/>
  <c r="V36" i="1" s="1"/>
  <c r="W35" i="1"/>
  <c r="R35" i="1"/>
  <c r="P35" i="1"/>
  <c r="N35" i="1"/>
  <c r="T35" i="1" s="1"/>
  <c r="L35" i="1"/>
  <c r="H35" i="1"/>
  <c r="V35" i="1" s="1"/>
  <c r="W34" i="1"/>
  <c r="R34" i="1"/>
  <c r="P34" i="1"/>
  <c r="N34" i="1"/>
  <c r="T34" i="1" s="1"/>
  <c r="L34" i="1"/>
  <c r="H34" i="1"/>
  <c r="U34" i="1" s="1"/>
  <c r="W33" i="1"/>
  <c r="R33" i="1"/>
  <c r="P33" i="1"/>
  <c r="N33" i="1"/>
  <c r="L33" i="1"/>
  <c r="H33" i="1"/>
  <c r="V33" i="1" s="1"/>
  <c r="W32" i="1"/>
  <c r="R32" i="1"/>
  <c r="P32" i="1"/>
  <c r="N32" i="1"/>
  <c r="L32" i="1"/>
  <c r="H32" i="1"/>
  <c r="W31" i="1"/>
  <c r="R31" i="1"/>
  <c r="P31" i="1"/>
  <c r="N31" i="1"/>
  <c r="T31" i="1" s="1"/>
  <c r="L31" i="1"/>
  <c r="H31" i="1"/>
  <c r="U31" i="1" s="1"/>
  <c r="W30" i="1"/>
  <c r="R30" i="1"/>
  <c r="P30" i="1"/>
  <c r="N30" i="1"/>
  <c r="T30" i="1" s="1"/>
  <c r="L30" i="1"/>
  <c r="H30" i="1"/>
  <c r="V30" i="1" s="1"/>
  <c r="C30" i="1"/>
  <c r="C31" i="1" s="1"/>
  <c r="C32" i="1" s="1"/>
  <c r="C33" i="1" s="1"/>
  <c r="C34" i="1" s="1"/>
  <c r="C35" i="1" s="1"/>
  <c r="C36" i="1" s="1"/>
  <c r="C37" i="1" s="1"/>
  <c r="W29" i="1"/>
  <c r="R29" i="1"/>
  <c r="P29" i="1"/>
  <c r="N29" i="1"/>
  <c r="T29" i="1" s="1"/>
  <c r="L29" i="1"/>
  <c r="H29" i="1"/>
  <c r="V29" i="1" s="1"/>
  <c r="W28" i="1"/>
  <c r="R28" i="1"/>
  <c r="P28" i="1"/>
  <c r="N28" i="1"/>
  <c r="T28" i="1" s="1"/>
  <c r="L28" i="1"/>
  <c r="H28" i="1"/>
  <c r="U28" i="1" s="1"/>
  <c r="W27" i="1"/>
  <c r="V27" i="1"/>
  <c r="R27" i="1"/>
  <c r="P27" i="1"/>
  <c r="N27" i="1"/>
  <c r="T27" i="1" s="1"/>
  <c r="L27" i="1"/>
  <c r="H27" i="1"/>
  <c r="U27" i="1" s="1"/>
  <c r="W26" i="1"/>
  <c r="R26" i="1"/>
  <c r="P26" i="1"/>
  <c r="N26" i="1"/>
  <c r="T26" i="1" s="1"/>
  <c r="L26" i="1"/>
  <c r="H26" i="1"/>
  <c r="V26" i="1" s="1"/>
  <c r="W25" i="1"/>
  <c r="R25" i="1"/>
  <c r="P25" i="1"/>
  <c r="N25" i="1"/>
  <c r="L25" i="1"/>
  <c r="H25" i="1"/>
  <c r="V25" i="1" s="1"/>
  <c r="W24" i="1"/>
  <c r="R24" i="1"/>
  <c r="P24" i="1"/>
  <c r="N24" i="1"/>
  <c r="T24" i="1" s="1"/>
  <c r="L24" i="1"/>
  <c r="H24" i="1"/>
  <c r="V24" i="1" s="1"/>
  <c r="W23" i="1"/>
  <c r="R23" i="1"/>
  <c r="P23" i="1"/>
  <c r="N23" i="1"/>
  <c r="T23" i="1" s="1"/>
  <c r="L23" i="1"/>
  <c r="H23" i="1"/>
  <c r="V23" i="1" s="1"/>
  <c r="W22" i="1"/>
  <c r="R22" i="1"/>
  <c r="P22" i="1"/>
  <c r="N22" i="1"/>
  <c r="T22" i="1" s="1"/>
  <c r="L22" i="1"/>
  <c r="H22" i="1"/>
  <c r="V22" i="1" s="1"/>
  <c r="W21" i="1"/>
  <c r="R21" i="1"/>
  <c r="P21" i="1"/>
  <c r="N21" i="1"/>
  <c r="T21" i="1" s="1"/>
  <c r="L21" i="1"/>
  <c r="H21" i="1"/>
  <c r="W20" i="1"/>
  <c r="R20" i="1"/>
  <c r="P20" i="1"/>
  <c r="N20" i="1"/>
  <c r="T20" i="1" s="1"/>
  <c r="L20" i="1"/>
  <c r="H20" i="1"/>
  <c r="U20" i="1" s="1"/>
  <c r="W19" i="1"/>
  <c r="R19" i="1"/>
  <c r="P19" i="1"/>
  <c r="N19" i="1"/>
  <c r="T19" i="1" s="1"/>
  <c r="L19" i="1"/>
  <c r="H19" i="1"/>
  <c r="V19" i="1" s="1"/>
  <c r="W18" i="1"/>
  <c r="R18" i="1"/>
  <c r="P18" i="1"/>
  <c r="N18" i="1"/>
  <c r="T18" i="1" s="1"/>
  <c r="L18" i="1"/>
  <c r="H18" i="1"/>
  <c r="V18" i="1" s="1"/>
  <c r="W17" i="1"/>
  <c r="R17" i="1"/>
  <c r="P17" i="1"/>
  <c r="N17" i="1"/>
  <c r="T17" i="1" s="1"/>
  <c r="L17" i="1"/>
  <c r="H17" i="1"/>
  <c r="C17" i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W16" i="1"/>
  <c r="R16" i="1"/>
  <c r="P16" i="1"/>
  <c r="N16" i="1"/>
  <c r="T16" i="1" s="1"/>
  <c r="L16" i="1"/>
  <c r="H16" i="1"/>
  <c r="U16" i="1" s="1"/>
  <c r="W15" i="1"/>
  <c r="U15" i="1"/>
  <c r="R15" i="1"/>
  <c r="P15" i="1"/>
  <c r="N15" i="1"/>
  <c r="L15" i="1"/>
  <c r="H15" i="1"/>
  <c r="V15" i="1" s="1"/>
  <c r="W14" i="1"/>
  <c r="R14" i="1"/>
  <c r="P14" i="1"/>
  <c r="N14" i="1"/>
  <c r="L14" i="1"/>
  <c r="H14" i="1"/>
  <c r="V14" i="1" s="1"/>
  <c r="W13" i="1"/>
  <c r="R13" i="1"/>
  <c r="P13" i="1"/>
  <c r="N13" i="1"/>
  <c r="L13" i="1"/>
  <c r="H13" i="1"/>
  <c r="V13" i="1" s="1"/>
  <c r="W12" i="1"/>
  <c r="R12" i="1"/>
  <c r="P12" i="1"/>
  <c r="N12" i="1"/>
  <c r="L12" i="1"/>
  <c r="H12" i="1"/>
  <c r="W11" i="1"/>
  <c r="R11" i="1"/>
  <c r="P11" i="1"/>
  <c r="N11" i="1"/>
  <c r="L11" i="1"/>
  <c r="H11" i="1"/>
  <c r="U11" i="1" s="1"/>
  <c r="W10" i="1"/>
  <c r="R10" i="1"/>
  <c r="P10" i="1"/>
  <c r="N10" i="1"/>
  <c r="L10" i="1"/>
  <c r="H10" i="1"/>
  <c r="U10" i="1" s="1"/>
  <c r="W9" i="1"/>
  <c r="R9" i="1"/>
  <c r="P9" i="1"/>
  <c r="N9" i="1"/>
  <c r="L9" i="1"/>
  <c r="H9" i="1"/>
  <c r="V9" i="1" s="1"/>
  <c r="W8" i="1"/>
  <c r="R8" i="1"/>
  <c r="P8" i="1"/>
  <c r="N8" i="1"/>
  <c r="L8" i="1"/>
  <c r="H8" i="1"/>
  <c r="U8" i="1" s="1"/>
  <c r="C8" i="1"/>
  <c r="C9" i="1" s="1"/>
  <c r="C10" i="1" s="1"/>
  <c r="C11" i="1" s="1"/>
  <c r="C12" i="1" s="1"/>
  <c r="C13" i="1" s="1"/>
  <c r="C14" i="1" s="1"/>
  <c r="C15" i="1" s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W7" i="1"/>
  <c r="R7" i="1"/>
  <c r="P7" i="1"/>
  <c r="N7" i="1"/>
  <c r="L7" i="1"/>
  <c r="H7" i="1"/>
  <c r="V7" i="1" s="1"/>
  <c r="V1115" i="1" l="1"/>
  <c r="U1115" i="1"/>
  <c r="T564" i="1"/>
  <c r="U813" i="1"/>
  <c r="V813" i="1"/>
  <c r="V1236" i="1"/>
  <c r="U1236" i="1"/>
  <c r="T607" i="1"/>
  <c r="V957" i="1"/>
  <c r="U957" i="1"/>
  <c r="T1210" i="1"/>
  <c r="U226" i="1"/>
  <c r="V226" i="1"/>
  <c r="V1197" i="1"/>
  <c r="U1197" i="1"/>
  <c r="V100" i="1"/>
  <c r="U100" i="1"/>
  <c r="U1162" i="1"/>
  <c r="V1162" i="1"/>
  <c r="V265" i="1"/>
  <c r="U265" i="1"/>
  <c r="T216" i="1"/>
  <c r="T554" i="1"/>
  <c r="T845" i="1"/>
  <c r="T1247" i="1"/>
  <c r="T12" i="1"/>
  <c r="T178" i="1"/>
  <c r="T186" i="1"/>
  <c r="T259" i="1"/>
  <c r="V284" i="1"/>
  <c r="T368" i="1"/>
  <c r="U397" i="1"/>
  <c r="T621" i="1"/>
  <c r="T660" i="1"/>
  <c r="T672" i="1"/>
  <c r="U706" i="1"/>
  <c r="V729" i="1"/>
  <c r="V820" i="1"/>
  <c r="U1138" i="1"/>
  <c r="T413" i="1"/>
  <c r="T547" i="1"/>
  <c r="U822" i="1"/>
  <c r="U924" i="1"/>
  <c r="U941" i="1"/>
  <c r="T957" i="1"/>
  <c r="V1099" i="1"/>
  <c r="T684" i="1"/>
  <c r="T928" i="1"/>
  <c r="V1015" i="1"/>
  <c r="T1201" i="1"/>
  <c r="U1222" i="1"/>
  <c r="T1238" i="1"/>
  <c r="T357" i="1"/>
  <c r="T1244" i="1"/>
  <c r="A12" i="1"/>
  <c r="T480" i="1"/>
  <c r="T608" i="1"/>
  <c r="U755" i="1"/>
  <c r="V903" i="1"/>
  <c r="V996" i="1"/>
  <c r="U1203" i="1"/>
  <c r="T1209" i="1"/>
  <c r="V1285" i="1"/>
  <c r="A13" i="1"/>
  <c r="U110" i="1"/>
  <c r="U219" i="1"/>
  <c r="T262" i="1"/>
  <c r="T365" i="1"/>
  <c r="T400" i="1"/>
  <c r="U439" i="1"/>
  <c r="V557" i="1"/>
  <c r="V602" i="1"/>
  <c r="V798" i="1"/>
  <c r="U868" i="1"/>
  <c r="A14" i="1"/>
  <c r="V34" i="1"/>
  <c r="T58" i="1"/>
  <c r="V91" i="1"/>
  <c r="T130" i="1"/>
  <c r="U248" i="1"/>
  <c r="T315" i="1"/>
  <c r="T422" i="1"/>
  <c r="U540" i="1"/>
  <c r="T789" i="1"/>
  <c r="A15" i="1"/>
  <c r="T101" i="1"/>
  <c r="U202" i="1"/>
  <c r="T233" i="1"/>
  <c r="V346" i="1"/>
  <c r="T585" i="1"/>
  <c r="T673" i="1"/>
  <c r="T715" i="1"/>
  <c r="U944" i="1"/>
  <c r="V991" i="1"/>
  <c r="T1239" i="1"/>
  <c r="A16" i="1"/>
  <c r="T84" i="1"/>
  <c r="T198" i="1"/>
  <c r="T533" i="1"/>
  <c r="T727" i="1"/>
  <c r="U835" i="1"/>
  <c r="T849" i="1"/>
  <c r="V887" i="1"/>
  <c r="U1111" i="1"/>
  <c r="T1146" i="1"/>
  <c r="U1182" i="1"/>
  <c r="U1265" i="1"/>
  <c r="T1271" i="1"/>
  <c r="T326" i="1"/>
  <c r="T853" i="1"/>
  <c r="T1283" i="1"/>
  <c r="T172" i="1"/>
  <c r="T193" i="1"/>
  <c r="T296" i="1"/>
  <c r="T374" i="1"/>
  <c r="T497" i="1"/>
  <c r="T600" i="1"/>
  <c r="T810" i="1"/>
  <c r="U271" i="1"/>
  <c r="T273" i="1"/>
  <c r="U395" i="1"/>
  <c r="U516" i="1"/>
  <c r="U577" i="1"/>
  <c r="U989" i="1"/>
  <c r="V1004" i="1"/>
  <c r="V1098" i="1"/>
  <c r="U1192" i="1"/>
  <c r="U1215" i="1"/>
  <c r="U1246" i="1"/>
  <c r="T73" i="1"/>
  <c r="U135" i="1"/>
  <c r="V71" i="1"/>
  <c r="V88" i="1"/>
  <c r="T218" i="1"/>
  <c r="T401" i="1"/>
  <c r="V789" i="1"/>
  <c r="U1173" i="1"/>
  <c r="T1202" i="1"/>
  <c r="T60" i="1"/>
  <c r="T105" i="1"/>
  <c r="U250" i="1"/>
  <c r="T258" i="1"/>
  <c r="V298" i="1"/>
  <c r="U323" i="1"/>
  <c r="U348" i="1"/>
  <c r="U384" i="1"/>
  <c r="T392" i="1"/>
  <c r="V467" i="1"/>
  <c r="T469" i="1"/>
  <c r="U480" i="1"/>
  <c r="U585" i="1"/>
  <c r="U855" i="1"/>
  <c r="U99" i="1"/>
  <c r="V212" i="1"/>
  <c r="V81" i="1"/>
  <c r="U180" i="1"/>
  <c r="V367" i="1"/>
  <c r="T373" i="1"/>
  <c r="U386" i="1"/>
  <c r="V403" i="1"/>
  <c r="U566" i="1"/>
  <c r="V682" i="1"/>
  <c r="U745" i="1"/>
  <c r="U766" i="1"/>
  <c r="U1164" i="1"/>
  <c r="T1206" i="1"/>
  <c r="V64" i="1"/>
  <c r="V45" i="1"/>
  <c r="U66" i="1"/>
  <c r="U85" i="1"/>
  <c r="V119" i="1"/>
  <c r="T173" i="1"/>
  <c r="V260" i="1"/>
  <c r="V452" i="1"/>
  <c r="U469" i="1"/>
  <c r="U482" i="1"/>
  <c r="T659" i="1"/>
  <c r="U857" i="1"/>
  <c r="U1143" i="1"/>
  <c r="U70" i="1"/>
  <c r="V121" i="1"/>
  <c r="U161" i="1"/>
  <c r="V243" i="1"/>
  <c r="V291" i="1"/>
  <c r="V312" i="1"/>
  <c r="U373" i="1"/>
  <c r="T381" i="1"/>
  <c r="V394" i="1"/>
  <c r="T527" i="1"/>
  <c r="T561" i="1"/>
  <c r="V657" i="1"/>
  <c r="U747" i="1"/>
  <c r="V842" i="1"/>
  <c r="U955" i="1"/>
  <c r="T1038" i="1"/>
  <c r="V1053" i="1"/>
  <c r="V1145" i="1"/>
  <c r="V1166" i="1"/>
  <c r="U1270" i="1"/>
  <c r="T123" i="1"/>
  <c r="T138" i="1"/>
  <c r="V163" i="1"/>
  <c r="T213" i="1"/>
  <c r="T274" i="1"/>
  <c r="T305" i="1"/>
  <c r="U456" i="1"/>
  <c r="T468" i="1"/>
  <c r="U538" i="1"/>
  <c r="U555" i="1"/>
  <c r="T586" i="1"/>
  <c r="U736" i="1"/>
  <c r="T757" i="1"/>
  <c r="V799" i="1"/>
  <c r="V823" i="1"/>
  <c r="V896" i="1"/>
  <c r="U1059" i="1"/>
  <c r="U1072" i="1"/>
  <c r="T1111" i="1"/>
  <c r="T1257" i="1"/>
  <c r="T51" i="1"/>
  <c r="T99" i="1"/>
  <c r="T106" i="1"/>
  <c r="T121" i="1"/>
  <c r="T236" i="1"/>
  <c r="T454" i="1"/>
  <c r="T629" i="1"/>
  <c r="T661" i="1"/>
  <c r="T669" i="1"/>
  <c r="T1040" i="1"/>
  <c r="T1087" i="1"/>
  <c r="T1186" i="1"/>
  <c r="V1247" i="1"/>
  <c r="T1249" i="1"/>
  <c r="T1251" i="1"/>
  <c r="T1253" i="1"/>
  <c r="V1279" i="1"/>
  <c r="U1292" i="1"/>
  <c r="U640" i="1"/>
  <c r="T646" i="1"/>
  <c r="U659" i="1"/>
  <c r="T699" i="1"/>
  <c r="T701" i="1"/>
  <c r="T703" i="1"/>
  <c r="T705" i="1"/>
  <c r="T710" i="1"/>
  <c r="T804" i="1"/>
  <c r="T1119" i="1"/>
  <c r="T1213" i="1"/>
  <c r="T318" i="1"/>
  <c r="T548" i="1"/>
  <c r="T1052" i="1"/>
  <c r="T1123" i="1"/>
  <c r="T1198" i="1"/>
  <c r="T1200" i="1"/>
  <c r="T1267" i="1"/>
  <c r="T403" i="1"/>
  <c r="U29" i="1"/>
  <c r="U59" i="1"/>
  <c r="T72" i="1"/>
  <c r="V132" i="1"/>
  <c r="U139" i="1"/>
  <c r="T145" i="1"/>
  <c r="T147" i="1"/>
  <c r="T188" i="1"/>
  <c r="T203" i="1"/>
  <c r="T231" i="1"/>
  <c r="T255" i="1"/>
  <c r="V268" i="1"/>
  <c r="T311" i="1"/>
  <c r="U331" i="1"/>
  <c r="V359" i="1"/>
  <c r="T409" i="1"/>
  <c r="T417" i="1"/>
  <c r="T419" i="1"/>
  <c r="U464" i="1"/>
  <c r="U484" i="1"/>
  <c r="V548" i="1"/>
  <c r="U618" i="1"/>
  <c r="T624" i="1"/>
  <c r="T658" i="1"/>
  <c r="U735" i="1"/>
  <c r="U854" i="1"/>
  <c r="V867" i="1"/>
  <c r="T871" i="1"/>
  <c r="U919" i="1"/>
  <c r="U943" i="1"/>
  <c r="U969" i="1"/>
  <c r="U982" i="1"/>
  <c r="T1018" i="1"/>
  <c r="U1069" i="1"/>
  <c r="T1219" i="1"/>
  <c r="U1278" i="1"/>
  <c r="V1287" i="1"/>
  <c r="U242" i="1"/>
  <c r="U335" i="1"/>
  <c r="V430" i="1"/>
  <c r="U447" i="1"/>
  <c r="U550" i="1"/>
  <c r="U582" i="1"/>
  <c r="U673" i="1"/>
  <c r="U716" i="1"/>
  <c r="U776" i="1"/>
  <c r="V882" i="1"/>
  <c r="U1095" i="1"/>
  <c r="V1267" i="1"/>
  <c r="T1269" i="1"/>
  <c r="T57" i="1"/>
  <c r="T199" i="1"/>
  <c r="T507" i="1"/>
  <c r="U24" i="1"/>
  <c r="U48" i="1"/>
  <c r="V103" i="1"/>
  <c r="U114" i="1"/>
  <c r="V162" i="1"/>
  <c r="T174" i="1"/>
  <c r="T176" i="1"/>
  <c r="T183" i="1"/>
  <c r="U190" i="1"/>
  <c r="U216" i="1"/>
  <c r="T278" i="1"/>
  <c r="U289" i="1"/>
  <c r="V294" i="1"/>
  <c r="U311" i="1"/>
  <c r="U361" i="1"/>
  <c r="U391" i="1"/>
  <c r="U419" i="1"/>
  <c r="T440" i="1"/>
  <c r="T461" i="1"/>
  <c r="T498" i="1"/>
  <c r="U513" i="1"/>
  <c r="T534" i="1"/>
  <c r="T569" i="1"/>
  <c r="T670" i="1"/>
  <c r="V750" i="1"/>
  <c r="V886" i="1"/>
  <c r="U1131" i="1"/>
  <c r="U1161" i="1"/>
  <c r="T316" i="1"/>
  <c r="T430" i="1"/>
  <c r="V20" i="1"/>
  <c r="U13" i="1"/>
  <c r="V78" i="1"/>
  <c r="V125" i="1"/>
  <c r="V257" i="1"/>
  <c r="U276" i="1"/>
  <c r="U354" i="1"/>
  <c r="U374" i="1"/>
  <c r="T558" i="1"/>
  <c r="V567" i="1"/>
  <c r="V607" i="1"/>
  <c r="V814" i="1"/>
  <c r="U845" i="1"/>
  <c r="T860" i="1"/>
  <c r="U893" i="1"/>
  <c r="V910" i="1"/>
  <c r="U936" i="1"/>
  <c r="T955" i="1"/>
  <c r="T977" i="1"/>
  <c r="V1024" i="1"/>
  <c r="U1078" i="1"/>
  <c r="U1097" i="1"/>
  <c r="U1150" i="1"/>
  <c r="V1183" i="1"/>
  <c r="T1189" i="1"/>
  <c r="T1214" i="1"/>
  <c r="T1245" i="1"/>
  <c r="V1269" i="1"/>
  <c r="T1275" i="1"/>
  <c r="U41" i="1"/>
  <c r="T56" i="1"/>
  <c r="T102" i="1"/>
  <c r="U170" i="1"/>
  <c r="T200" i="1"/>
  <c r="U237" i="1"/>
  <c r="V246" i="1"/>
  <c r="T248" i="1"/>
  <c r="T267" i="1"/>
  <c r="U282" i="1"/>
  <c r="V296" i="1"/>
  <c r="T306" i="1"/>
  <c r="T321" i="1"/>
  <c r="T351" i="1"/>
  <c r="T388" i="1"/>
  <c r="T397" i="1"/>
  <c r="U421" i="1"/>
  <c r="U440" i="1"/>
  <c r="U470" i="1"/>
  <c r="T476" i="1"/>
  <c r="U534" i="1"/>
  <c r="T538" i="1"/>
  <c r="V545" i="1"/>
  <c r="T566" i="1"/>
  <c r="V630" i="1"/>
  <c r="U670" i="1"/>
  <c r="V726" i="1"/>
  <c r="U754" i="1"/>
  <c r="T756" i="1"/>
  <c r="U769" i="1"/>
  <c r="V916" i="1"/>
  <c r="U925" i="1"/>
  <c r="U1026" i="1"/>
  <c r="U1090" i="1"/>
  <c r="V1187" i="1"/>
  <c r="V1254" i="1"/>
  <c r="T189" i="1"/>
  <c r="T256" i="1"/>
  <c r="T360" i="1"/>
  <c r="T408" i="1"/>
  <c r="T412" i="1"/>
  <c r="T491" i="1"/>
  <c r="T542" i="1"/>
  <c r="T551" i="1"/>
  <c r="T583" i="1"/>
  <c r="U879" i="1"/>
  <c r="U888" i="1"/>
  <c r="T929" i="1"/>
  <c r="T931" i="1"/>
  <c r="T933" i="1"/>
  <c r="V968" i="1"/>
  <c r="U1009" i="1"/>
  <c r="T1032" i="1"/>
  <c r="V1116" i="1"/>
  <c r="U1178" i="1"/>
  <c r="U1262" i="1"/>
  <c r="U1286" i="1"/>
  <c r="T163" i="1"/>
  <c r="T275" i="1"/>
  <c r="T295" i="1"/>
  <c r="T362" i="1"/>
  <c r="T364" i="1"/>
  <c r="T514" i="1"/>
  <c r="T717" i="1"/>
  <c r="T61" i="1"/>
  <c r="T95" i="1"/>
  <c r="U505" i="1"/>
  <c r="V505" i="1"/>
  <c r="U597" i="1"/>
  <c r="V597" i="1"/>
  <c r="T627" i="1"/>
  <c r="U705" i="1"/>
  <c r="V705" i="1"/>
  <c r="U746" i="1"/>
  <c r="V746" i="1"/>
  <c r="V902" i="1"/>
  <c r="U902" i="1"/>
  <c r="U26" i="1"/>
  <c r="V52" i="1"/>
  <c r="T82" i="1"/>
  <c r="U90" i="1"/>
  <c r="U131" i="1"/>
  <c r="V141" i="1"/>
  <c r="T161" i="1"/>
  <c r="V166" i="1"/>
  <c r="U177" i="1"/>
  <c r="T192" i="1"/>
  <c r="T194" i="1"/>
  <c r="U209" i="1"/>
  <c r="V279" i="1"/>
  <c r="U453" i="1"/>
  <c r="V453" i="1"/>
  <c r="U515" i="1"/>
  <c r="V515" i="1"/>
  <c r="U763" i="1"/>
  <c r="V763" i="1"/>
  <c r="V1221" i="1"/>
  <c r="U1221" i="1"/>
  <c r="V1293" i="1"/>
  <c r="U1293" i="1"/>
  <c r="U223" i="1"/>
  <c r="V309" i="1"/>
  <c r="U788" i="1"/>
  <c r="V788" i="1"/>
  <c r="V843" i="1"/>
  <c r="U843" i="1"/>
  <c r="V143" i="1"/>
  <c r="U341" i="1"/>
  <c r="V341" i="1"/>
  <c r="T425" i="1"/>
  <c r="V590" i="1"/>
  <c r="U590" i="1"/>
  <c r="U947" i="1"/>
  <c r="V947" i="1"/>
  <c r="V1112" i="1"/>
  <c r="U1112" i="1"/>
  <c r="V306" i="1"/>
  <c r="U306" i="1"/>
  <c r="V488" i="1"/>
  <c r="U488" i="1"/>
  <c r="U23" i="1"/>
  <c r="V77" i="1"/>
  <c r="U7" i="1"/>
  <c r="T25" i="1"/>
  <c r="T32" i="1"/>
  <c r="U49" i="1"/>
  <c r="V56" i="1"/>
  <c r="U89" i="1"/>
  <c r="V145" i="1"/>
  <c r="U154" i="1"/>
  <c r="T181" i="1"/>
  <c r="U187" i="1"/>
  <c r="U201" i="1"/>
  <c r="U208" i="1"/>
  <c r="U215" i="1"/>
  <c r="T222" i="1"/>
  <c r="T235" i="1"/>
  <c r="V240" i="1"/>
  <c r="T249" i="1"/>
  <c r="T299" i="1"/>
  <c r="V304" i="1"/>
  <c r="U333" i="1"/>
  <c r="V347" i="1"/>
  <c r="U347" i="1"/>
  <c r="V365" i="1"/>
  <c r="U365" i="1"/>
  <c r="U389" i="1"/>
  <c r="V389" i="1"/>
  <c r="V399" i="1"/>
  <c r="V438" i="1"/>
  <c r="U483" i="1"/>
  <c r="V483" i="1"/>
  <c r="V683" i="1"/>
  <c r="U683" i="1"/>
  <c r="U728" i="1"/>
  <c r="V728" i="1"/>
  <c r="U834" i="1"/>
  <c r="V834" i="1"/>
  <c r="U918" i="1"/>
  <c r="V918" i="1"/>
  <c r="U46" i="1"/>
  <c r="T74" i="1"/>
  <c r="T76" i="1"/>
  <c r="T81" i="1"/>
  <c r="V92" i="1"/>
  <c r="U104" i="1"/>
  <c r="U140" i="1"/>
  <c r="T149" i="1"/>
  <c r="T167" i="1"/>
  <c r="U186" i="1"/>
  <c r="T205" i="1"/>
  <c r="T210" i="1"/>
  <c r="U220" i="1"/>
  <c r="U263" i="1"/>
  <c r="T271" i="1"/>
  <c r="U274" i="1"/>
  <c r="U283" i="1"/>
  <c r="U292" i="1"/>
  <c r="V297" i="1"/>
  <c r="T317" i="1"/>
  <c r="T472" i="1"/>
  <c r="V615" i="1"/>
  <c r="U615" i="1"/>
  <c r="T754" i="1"/>
  <c r="V775" i="1"/>
  <c r="U775" i="1"/>
  <c r="T916" i="1"/>
  <c r="V981" i="1"/>
  <c r="U981" i="1"/>
  <c r="V42" i="1"/>
  <c r="V37" i="1"/>
  <c r="V67" i="1"/>
  <c r="T103" i="1"/>
  <c r="T110" i="1"/>
  <c r="U111" i="1"/>
  <c r="U118" i="1"/>
  <c r="T226" i="1"/>
  <c r="T260" i="1"/>
  <c r="U409" i="1"/>
  <c r="V409" i="1"/>
  <c r="V426" i="1"/>
  <c r="U426" i="1"/>
  <c r="T465" i="1"/>
  <c r="V508" i="1"/>
  <c r="U508" i="1"/>
  <c r="V510" i="1"/>
  <c r="U510" i="1"/>
  <c r="V512" i="1"/>
  <c r="U512" i="1"/>
  <c r="T573" i="1"/>
  <c r="T575" i="1"/>
  <c r="T609" i="1"/>
  <c r="T611" i="1"/>
  <c r="U1101" i="1"/>
  <c r="V1101" i="1"/>
  <c r="T55" i="1"/>
  <c r="U69" i="1"/>
  <c r="U181" i="1"/>
  <c r="U191" i="1"/>
  <c r="U239" i="1"/>
  <c r="U249" i="1"/>
  <c r="V308" i="1"/>
  <c r="V334" i="1"/>
  <c r="U334" i="1"/>
  <c r="U370" i="1"/>
  <c r="U400" i="1"/>
  <c r="V400" i="1"/>
  <c r="U429" i="1"/>
  <c r="U481" i="1"/>
  <c r="V749" i="1"/>
  <c r="U749" i="1"/>
  <c r="V933" i="1"/>
  <c r="U933" i="1"/>
  <c r="U151" i="1"/>
  <c r="V167" i="1"/>
  <c r="T171" i="1"/>
  <c r="T190" i="1"/>
  <c r="V198" i="1"/>
  <c r="T214" i="1"/>
  <c r="T228" i="1"/>
  <c r="T230" i="1"/>
  <c r="U301" i="1"/>
  <c r="T312" i="1"/>
  <c r="V387" i="1"/>
  <c r="U719" i="1"/>
  <c r="V719" i="1"/>
  <c r="V1232" i="1"/>
  <c r="U1232" i="1"/>
  <c r="U316" i="1"/>
  <c r="V316" i="1"/>
  <c r="V471" i="1"/>
  <c r="U471" i="1"/>
  <c r="V497" i="1"/>
  <c r="U497" i="1"/>
  <c r="V499" i="1"/>
  <c r="U499" i="1"/>
  <c r="V544" i="1"/>
  <c r="U544" i="1"/>
  <c r="V831" i="1"/>
  <c r="U831" i="1"/>
  <c r="V1025" i="1"/>
  <c r="U1025" i="1"/>
  <c r="V350" i="1"/>
  <c r="U350" i="1"/>
  <c r="V38" i="1"/>
  <c r="T164" i="1"/>
  <c r="U173" i="1"/>
  <c r="U195" i="1"/>
  <c r="T257" i="1"/>
  <c r="T264" i="1"/>
  <c r="T279" i="1"/>
  <c r="T288" i="1"/>
  <c r="T298" i="1"/>
  <c r="T325" i="1"/>
  <c r="V327" i="1"/>
  <c r="U327" i="1"/>
  <c r="V364" i="1"/>
  <c r="U364" i="1"/>
  <c r="V445" i="1"/>
  <c r="U445" i="1"/>
  <c r="U631" i="1"/>
  <c r="V631" i="1"/>
  <c r="T798" i="1"/>
  <c r="T1182" i="1"/>
  <c r="T559" i="1"/>
  <c r="T665" i="1"/>
  <c r="T1282" i="1"/>
  <c r="T304" i="1"/>
  <c r="V307" i="1"/>
  <c r="T309" i="1"/>
  <c r="T337" i="1"/>
  <c r="T339" i="1"/>
  <c r="U358" i="1"/>
  <c r="T407" i="1"/>
  <c r="U416" i="1"/>
  <c r="T438" i="1"/>
  <c r="T460" i="1"/>
  <c r="T462" i="1"/>
  <c r="T544" i="1"/>
  <c r="V547" i="1"/>
  <c r="V568" i="1"/>
  <c r="T590" i="1"/>
  <c r="U606" i="1"/>
  <c r="T615" i="1"/>
  <c r="U641" i="1"/>
  <c r="V650" i="1"/>
  <c r="T683" i="1"/>
  <c r="U692" i="1"/>
  <c r="T721" i="1"/>
  <c r="T811" i="1"/>
  <c r="U832" i="1"/>
  <c r="V905" i="1"/>
  <c r="U950" i="1"/>
  <c r="U984" i="1"/>
  <c r="V1012" i="1"/>
  <c r="V1017" i="1"/>
  <c r="T1101" i="1"/>
  <c r="T1112" i="1"/>
  <c r="U1117" i="1"/>
  <c r="T1221" i="1"/>
  <c r="T1268" i="1"/>
  <c r="U674" i="1"/>
  <c r="V694" i="1"/>
  <c r="U821" i="1"/>
  <c r="V829" i="1"/>
  <c r="U853" i="1"/>
  <c r="U856" i="1"/>
  <c r="U878" i="1"/>
  <c r="V954" i="1"/>
  <c r="U993" i="1"/>
  <c r="U1000" i="1"/>
  <c r="U1041" i="1"/>
  <c r="U1052" i="1"/>
  <c r="V1066" i="1"/>
  <c r="U1087" i="1"/>
  <c r="U1170" i="1"/>
  <c r="U1214" i="1"/>
  <c r="U1228" i="1"/>
  <c r="U1289" i="1"/>
  <c r="T350" i="1"/>
  <c r="T451" i="1"/>
  <c r="T466" i="1"/>
  <c r="T512" i="1"/>
  <c r="T546" i="1"/>
  <c r="T567" i="1"/>
  <c r="U638" i="1"/>
  <c r="T676" i="1"/>
  <c r="T685" i="1"/>
  <c r="T708" i="1"/>
  <c r="T716" i="1"/>
  <c r="T725" i="1"/>
  <c r="T730" i="1"/>
  <c r="T736" i="1"/>
  <c r="U768" i="1"/>
  <c r="U846" i="1"/>
  <c r="T970" i="1"/>
  <c r="U977" i="1"/>
  <c r="T992" i="1"/>
  <c r="V1032" i="1"/>
  <c r="T1036" i="1"/>
  <c r="V1071" i="1"/>
  <c r="U1096" i="1"/>
  <c r="T1098" i="1"/>
  <c r="T1107" i="1"/>
  <c r="U1149" i="1"/>
  <c r="U1156" i="1"/>
  <c r="V1177" i="1"/>
  <c r="U1191" i="1"/>
  <c r="T1197" i="1"/>
  <c r="U1205" i="1"/>
  <c r="V1241" i="1"/>
  <c r="V1253" i="1"/>
  <c r="T1259" i="1"/>
  <c r="T1270" i="1"/>
  <c r="V1273" i="1"/>
  <c r="T1277" i="1"/>
  <c r="T1279" i="1"/>
  <c r="U1284" i="1"/>
  <c r="U1061" i="1"/>
  <c r="U1119" i="1"/>
  <c r="U1137" i="1"/>
  <c r="T234" i="1"/>
  <c r="T251" i="1"/>
  <c r="T347" i="1"/>
  <c r="T369" i="1"/>
  <c r="T378" i="1"/>
  <c r="T380" i="1"/>
  <c r="T406" i="1"/>
  <c r="T435" i="1"/>
  <c r="T455" i="1"/>
  <c r="T473" i="1"/>
  <c r="T485" i="1"/>
  <c r="T553" i="1"/>
  <c r="V556" i="1"/>
  <c r="T560" i="1"/>
  <c r="T562" i="1"/>
  <c r="U572" i="1"/>
  <c r="V624" i="1"/>
  <c r="V649" i="1"/>
  <c r="T651" i="1"/>
  <c r="T653" i="1"/>
  <c r="T664" i="1"/>
  <c r="T666" i="1"/>
  <c r="T718" i="1"/>
  <c r="U725" i="1"/>
  <c r="U739" i="1"/>
  <c r="U758" i="1"/>
  <c r="U800" i="1"/>
  <c r="U824" i="1"/>
  <c r="T896" i="1"/>
  <c r="V897" i="1"/>
  <c r="U913" i="1"/>
  <c r="V965" i="1"/>
  <c r="U992" i="1"/>
  <c r="U995" i="1"/>
  <c r="T1169" i="1"/>
  <c r="U1181" i="1"/>
  <c r="V1186" i="1"/>
  <c r="V1207" i="1"/>
  <c r="T1211" i="1"/>
  <c r="T1220" i="1"/>
  <c r="V1261" i="1"/>
  <c r="V525" i="1"/>
  <c r="V928" i="1"/>
  <c r="T336" i="1"/>
  <c r="T359" i="1"/>
  <c r="T444" i="1"/>
  <c r="T470" i="1"/>
  <c r="U553" i="1"/>
  <c r="U594" i="1"/>
  <c r="U612" i="1"/>
  <c r="T657" i="1"/>
  <c r="U660" i="1"/>
  <c r="T722" i="1"/>
  <c r="T755" i="1"/>
  <c r="T787" i="1"/>
  <c r="T799" i="1"/>
  <c r="V804" i="1"/>
  <c r="U838" i="1"/>
  <c r="T854" i="1"/>
  <c r="V877" i="1"/>
  <c r="V920" i="1"/>
  <c r="U958" i="1"/>
  <c r="V999" i="1"/>
  <c r="V1040" i="1"/>
  <c r="U1051" i="1"/>
  <c r="U1065" i="1"/>
  <c r="U1084" i="1"/>
  <c r="V1109" i="1"/>
  <c r="U1125" i="1"/>
  <c r="U1167" i="1"/>
  <c r="U1190" i="1"/>
  <c r="U1204" i="1"/>
  <c r="U1213" i="1"/>
  <c r="U1220" i="1"/>
  <c r="U1223" i="1"/>
  <c r="T1229" i="1"/>
  <c r="T1254" i="1"/>
  <c r="V1263" i="1"/>
  <c r="T1274" i="1"/>
  <c r="T333" i="1"/>
  <c r="U380" i="1"/>
  <c r="T393" i="1"/>
  <c r="T398" i="1"/>
  <c r="V406" i="1"/>
  <c r="T421" i="1"/>
  <c r="U435" i="1"/>
  <c r="T450" i="1"/>
  <c r="V473" i="1"/>
  <c r="T479" i="1"/>
  <c r="T489" i="1"/>
  <c r="T516" i="1"/>
  <c r="T522" i="1"/>
  <c r="T545" i="1"/>
  <c r="V578" i="1"/>
  <c r="U596" i="1"/>
  <c r="T634" i="1"/>
  <c r="T675" i="1"/>
  <c r="V704" i="1"/>
  <c r="U718" i="1"/>
  <c r="V748" i="1"/>
  <c r="U762" i="1"/>
  <c r="T769" i="1"/>
  <c r="T817" i="1"/>
  <c r="V833" i="1"/>
  <c r="U901" i="1"/>
  <c r="V930" i="1"/>
  <c r="V985" i="1"/>
  <c r="U1060" i="1"/>
  <c r="T1077" i="1"/>
  <c r="T1102" i="1"/>
  <c r="U1118" i="1"/>
  <c r="T1183" i="1"/>
  <c r="T1217" i="1"/>
  <c r="T1235" i="1"/>
  <c r="V1240" i="1"/>
  <c r="T1256" i="1"/>
  <c r="T1258" i="1"/>
  <c r="T1276" i="1"/>
  <c r="T1278" i="1"/>
  <c r="T1298" i="1"/>
  <c r="T602" i="1"/>
  <c r="T616" i="1"/>
  <c r="T618" i="1"/>
  <c r="T686" i="1"/>
  <c r="T752" i="1"/>
  <c r="T861" i="1"/>
  <c r="T865" i="1"/>
  <c r="T1262" i="1"/>
  <c r="V8" i="1"/>
  <c r="T10" i="1"/>
  <c r="T83" i="1"/>
  <c r="T91" i="1"/>
  <c r="T137" i="1"/>
  <c r="T159" i="1"/>
  <c r="T197" i="1"/>
  <c r="T219" i="1"/>
  <c r="V270" i="1"/>
  <c r="U281" i="1"/>
  <c r="U305" i="1"/>
  <c r="V345" i="1"/>
  <c r="V355" i="1"/>
  <c r="U355" i="1"/>
  <c r="U377" i="1"/>
  <c r="T386" i="1"/>
  <c r="T396" i="1"/>
  <c r="U398" i="1"/>
  <c r="V398" i="1"/>
  <c r="V490" i="1"/>
  <c r="U490" i="1"/>
  <c r="V586" i="1"/>
  <c r="U586" i="1"/>
  <c r="U803" i="1"/>
  <c r="V803" i="1"/>
  <c r="V1028" i="1"/>
  <c r="U1028" i="1"/>
  <c r="V1039" i="1"/>
  <c r="U1039" i="1"/>
  <c r="V1081" i="1"/>
  <c r="U1081" i="1"/>
  <c r="U1108" i="1"/>
  <c r="V1108" i="1"/>
  <c r="T33" i="1"/>
  <c r="U128" i="1"/>
  <c r="T158" i="1"/>
  <c r="T169" i="1"/>
  <c r="T272" i="1"/>
  <c r="U330" i="1"/>
  <c r="U340" i="1"/>
  <c r="T344" i="1"/>
  <c r="U349" i="1"/>
  <c r="V349" i="1"/>
  <c r="U357" i="1"/>
  <c r="V357" i="1"/>
  <c r="T376" i="1"/>
  <c r="V428" i="1"/>
  <c r="U428" i="1"/>
  <c r="T431" i="1"/>
  <c r="U442" i="1"/>
  <c r="V442" i="1"/>
  <c r="T474" i="1"/>
  <c r="V523" i="1"/>
  <c r="U523" i="1"/>
  <c r="V645" i="1"/>
  <c r="U645" i="1"/>
  <c r="V647" i="1"/>
  <c r="U647" i="1"/>
  <c r="U1014" i="1"/>
  <c r="V1014" i="1"/>
  <c r="V410" i="1"/>
  <c r="U410" i="1"/>
  <c r="U494" i="1"/>
  <c r="V494" i="1"/>
  <c r="U535" i="1"/>
  <c r="V535" i="1"/>
  <c r="U537" i="1"/>
  <c r="V537" i="1"/>
  <c r="V671" i="1"/>
  <c r="U671" i="1"/>
  <c r="T737" i="1"/>
  <c r="U613" i="1"/>
  <c r="V613" i="1"/>
  <c r="V703" i="1"/>
  <c r="U703" i="1"/>
  <c r="V717" i="1"/>
  <c r="U717" i="1"/>
  <c r="U895" i="1"/>
  <c r="V895" i="1"/>
  <c r="U22" i="1"/>
  <c r="U33" i="1"/>
  <c r="U55" i="1"/>
  <c r="U222" i="1"/>
  <c r="U225" i="1"/>
  <c r="T261" i="1"/>
  <c r="T301" i="1"/>
  <c r="T313" i="1"/>
  <c r="T323" i="1"/>
  <c r="T334" i="1"/>
  <c r="U337" i="1"/>
  <c r="V342" i="1"/>
  <c r="T346" i="1"/>
  <c r="T370" i="1"/>
  <c r="T428" i="1"/>
  <c r="U446" i="1"/>
  <c r="V446" i="1"/>
  <c r="U463" i="1"/>
  <c r="V463" i="1"/>
  <c r="V626" i="1"/>
  <c r="U626" i="1"/>
  <c r="V714" i="1"/>
  <c r="U714" i="1"/>
  <c r="V756" i="1"/>
  <c r="U756" i="1"/>
  <c r="U554" i="1"/>
  <c r="V554" i="1"/>
  <c r="U778" i="1"/>
  <c r="V778" i="1"/>
  <c r="T14" i="1"/>
  <c r="V28" i="1"/>
  <c r="U36" i="1"/>
  <c r="U44" i="1"/>
  <c r="U96" i="1"/>
  <c r="U107" i="1"/>
  <c r="U158" i="1"/>
  <c r="U169" i="1"/>
  <c r="U205" i="1"/>
  <c r="U230" i="1"/>
  <c r="U236" i="1"/>
  <c r="U264" i="1"/>
  <c r="U272" i="1"/>
  <c r="U275" i="1"/>
  <c r="U299" i="1"/>
  <c r="U318" i="1"/>
  <c r="U321" i="1"/>
  <c r="U344" i="1"/>
  <c r="V376" i="1"/>
  <c r="U433" i="1"/>
  <c r="V450" i="1"/>
  <c r="U450" i="1"/>
  <c r="V528" i="1"/>
  <c r="V605" i="1"/>
  <c r="U605" i="1"/>
  <c r="V795" i="1"/>
  <c r="U795" i="1"/>
  <c r="U740" i="1"/>
  <c r="V740" i="1"/>
  <c r="V1239" i="1"/>
  <c r="U1239" i="1"/>
  <c r="U19" i="1"/>
  <c r="V58" i="1"/>
  <c r="U82" i="1"/>
  <c r="V113" i="1"/>
  <c r="U124" i="1"/>
  <c r="T129" i="1"/>
  <c r="U136" i="1"/>
  <c r="U147" i="1"/>
  <c r="U150" i="1"/>
  <c r="T152" i="1"/>
  <c r="T165" i="1"/>
  <c r="U174" i="1"/>
  <c r="U185" i="1"/>
  <c r="U194" i="1"/>
  <c r="T196" i="1"/>
  <c r="T229" i="1"/>
  <c r="T232" i="1"/>
  <c r="U233" i="1"/>
  <c r="T238" i="1"/>
  <c r="U253" i="1"/>
  <c r="U261" i="1"/>
  <c r="T263" i="1"/>
  <c r="T266" i="1"/>
  <c r="T277" i="1"/>
  <c r="U285" i="1"/>
  <c r="U329" i="1"/>
  <c r="T331" i="1"/>
  <c r="T341" i="1"/>
  <c r="V381" i="1"/>
  <c r="V401" i="1"/>
  <c r="T463" i="1"/>
  <c r="U521" i="1"/>
  <c r="V564" i="1"/>
  <c r="U564" i="1"/>
  <c r="U621" i="1"/>
  <c r="V621" i="1"/>
  <c r="V696" i="1"/>
  <c r="U696" i="1"/>
  <c r="V770" i="1"/>
  <c r="U770" i="1"/>
  <c r="U144" i="1"/>
  <c r="U155" i="1"/>
  <c r="U322" i="1"/>
  <c r="V322" i="1"/>
  <c r="U338" i="1"/>
  <c r="V338" i="1"/>
  <c r="V418" i="1"/>
  <c r="U418" i="1"/>
  <c r="U427" i="1"/>
  <c r="V427" i="1"/>
  <c r="V479" i="1"/>
  <c r="U479" i="1"/>
  <c r="V502" i="1"/>
  <c r="U502" i="1"/>
  <c r="U589" i="1"/>
  <c r="V589" i="1"/>
  <c r="U664" i="1"/>
  <c r="V664" i="1"/>
  <c r="V828" i="1"/>
  <c r="U828" i="1"/>
  <c r="U1153" i="1"/>
  <c r="V1153" i="1"/>
  <c r="V68" i="1"/>
  <c r="T224" i="1"/>
  <c r="V227" i="1"/>
  <c r="V266" i="1"/>
  <c r="T268" i="1"/>
  <c r="V277" i="1"/>
  <c r="U295" i="1"/>
  <c r="V352" i="1"/>
  <c r="U362" i="1"/>
  <c r="T375" i="1"/>
  <c r="V378" i="1"/>
  <c r="V402" i="1"/>
  <c r="U402" i="1"/>
  <c r="U405" i="1"/>
  <c r="U493" i="1"/>
  <c r="V493" i="1"/>
  <c r="V790" i="1"/>
  <c r="U790" i="1"/>
  <c r="U946" i="1"/>
  <c r="V946" i="1"/>
  <c r="V1141" i="1"/>
  <c r="U1141" i="1"/>
  <c r="V501" i="1"/>
  <c r="U501" i="1"/>
  <c r="U9" i="1"/>
  <c r="V11" i="1"/>
  <c r="V16" i="1"/>
  <c r="U35" i="1"/>
  <c r="U57" i="1"/>
  <c r="T75" i="1"/>
  <c r="T78" i="1"/>
  <c r="T92" i="1"/>
  <c r="V101" i="1"/>
  <c r="U112" i="1"/>
  <c r="U115" i="1"/>
  <c r="U129" i="1"/>
  <c r="U165" i="1"/>
  <c r="T206" i="1"/>
  <c r="U229" i="1"/>
  <c r="U232" i="1"/>
  <c r="U244" i="1"/>
  <c r="V255" i="1"/>
  <c r="V287" i="1"/>
  <c r="V320" i="1"/>
  <c r="U411" i="1"/>
  <c r="V411" i="1"/>
  <c r="V412" i="1"/>
  <c r="T423" i="1"/>
  <c r="V458" i="1"/>
  <c r="U458" i="1"/>
  <c r="T543" i="1"/>
  <c r="T587" i="1"/>
  <c r="V636" i="1"/>
  <c r="U636" i="1"/>
  <c r="T662" i="1"/>
  <c r="V724" i="1"/>
  <c r="U724" i="1"/>
  <c r="T748" i="1"/>
  <c r="V785" i="1"/>
  <c r="U785" i="1"/>
  <c r="V661" i="1"/>
  <c r="U661" i="1"/>
  <c r="U73" i="1"/>
  <c r="T97" i="1"/>
  <c r="T114" i="1"/>
  <c r="U184" i="1"/>
  <c r="T195" i="1"/>
  <c r="T237" i="1"/>
  <c r="T240" i="1"/>
  <c r="U252" i="1"/>
  <c r="T276" i="1"/>
  <c r="T314" i="1"/>
  <c r="V317" i="1"/>
  <c r="U325" i="1"/>
  <c r="V328" i="1"/>
  <c r="T361" i="1"/>
  <c r="U375" i="1"/>
  <c r="T382" i="1"/>
  <c r="T384" i="1"/>
  <c r="T389" i="1"/>
  <c r="T402" i="1"/>
  <c r="V414" i="1"/>
  <c r="T418" i="1"/>
  <c r="V462" i="1"/>
  <c r="U462" i="1"/>
  <c r="V575" i="1"/>
  <c r="U575" i="1"/>
  <c r="V600" i="1"/>
  <c r="U600" i="1"/>
  <c r="U675" i="1"/>
  <c r="V675" i="1"/>
  <c r="V934" i="1"/>
  <c r="U934" i="1"/>
  <c r="T297" i="1"/>
  <c r="V413" i="1"/>
  <c r="U413" i="1"/>
  <c r="V449" i="1"/>
  <c r="U449" i="1"/>
  <c r="T446" i="1"/>
  <c r="T458" i="1"/>
  <c r="T493" i="1"/>
  <c r="T517" i="1"/>
  <c r="T536" i="1"/>
  <c r="T541" i="1"/>
  <c r="T571" i="1"/>
  <c r="U574" i="1"/>
  <c r="V588" i="1"/>
  <c r="V652" i="1"/>
  <c r="V663" i="1"/>
  <c r="T667" i="1"/>
  <c r="V681" i="1"/>
  <c r="V685" i="1"/>
  <c r="T693" i="1"/>
  <c r="T697" i="1"/>
  <c r="T704" i="1"/>
  <c r="U783" i="1"/>
  <c r="V783" i="1"/>
  <c r="U784" i="1"/>
  <c r="V812" i="1"/>
  <c r="U812" i="1"/>
  <c r="V932" i="1"/>
  <c r="U932" i="1"/>
  <c r="V979" i="1"/>
  <c r="U979" i="1"/>
  <c r="V1050" i="1"/>
  <c r="U1050" i="1"/>
  <c r="V1136" i="1"/>
  <c r="U1136" i="1"/>
  <c r="T1203" i="1"/>
  <c r="T377" i="1"/>
  <c r="T453" i="1"/>
  <c r="T482" i="1"/>
  <c r="V514" i="1"/>
  <c r="U536" i="1"/>
  <c r="T557" i="1"/>
  <c r="U598" i="1"/>
  <c r="U609" i="1"/>
  <c r="T613" i="1"/>
  <c r="U619" i="1"/>
  <c r="U637" i="1"/>
  <c r="U648" i="1"/>
  <c r="U667" i="1"/>
  <c r="T671" i="1"/>
  <c r="U672" i="1"/>
  <c r="U680" i="1"/>
  <c r="U684" i="1"/>
  <c r="U693" i="1"/>
  <c r="T696" i="1"/>
  <c r="V697" i="1"/>
  <c r="T714" i="1"/>
  <c r="V757" i="1"/>
  <c r="V771" i="1"/>
  <c r="V810" i="1"/>
  <c r="U859" i="1"/>
  <c r="V859" i="1"/>
  <c r="T927" i="1"/>
  <c r="V1043" i="1"/>
  <c r="U1043" i="1"/>
  <c r="U1196" i="1"/>
  <c r="U423" i="1"/>
  <c r="U431" i="1"/>
  <c r="U460" i="1"/>
  <c r="U474" i="1"/>
  <c r="U506" i="1"/>
  <c r="U524" i="1"/>
  <c r="V527" i="1"/>
  <c r="U543" i="1"/>
  <c r="U560" i="1"/>
  <c r="U579" i="1"/>
  <c r="V587" i="1"/>
  <c r="U603" i="1"/>
  <c r="U662" i="1"/>
  <c r="U737" i="1"/>
  <c r="V865" i="1"/>
  <c r="U865" i="1"/>
  <c r="V880" i="1"/>
  <c r="U880" i="1"/>
  <c r="V1007" i="1"/>
  <c r="U1007" i="1"/>
  <c r="U1110" i="1"/>
  <c r="V1110" i="1"/>
  <c r="U1157" i="1"/>
  <c r="V1157" i="1"/>
  <c r="V1248" i="1"/>
  <c r="U1248" i="1"/>
  <c r="T324" i="1"/>
  <c r="T348" i="1"/>
  <c r="T385" i="1"/>
  <c r="T395" i="1"/>
  <c r="T420" i="1"/>
  <c r="T443" i="1"/>
  <c r="T478" i="1"/>
  <c r="T495" i="1"/>
  <c r="V503" i="1"/>
  <c r="U519" i="1"/>
  <c r="V532" i="1"/>
  <c r="T540" i="1"/>
  <c r="U562" i="1"/>
  <c r="V565" i="1"/>
  <c r="V576" i="1"/>
  <c r="T578" i="1"/>
  <c r="U592" i="1"/>
  <c r="T655" i="1"/>
  <c r="U658" i="1"/>
  <c r="T677" i="1"/>
  <c r="T688" i="1"/>
  <c r="T720" i="1"/>
  <c r="T734" i="1"/>
  <c r="U767" i="1"/>
  <c r="V780" i="1"/>
  <c r="U780" i="1"/>
  <c r="V791" i="1"/>
  <c r="T800" i="1"/>
  <c r="T807" i="1"/>
  <c r="T809" i="1"/>
  <c r="V815" i="1"/>
  <c r="T819" i="1"/>
  <c r="U844" i="1"/>
  <c r="V847" i="1"/>
  <c r="V912" i="1"/>
  <c r="V923" i="1"/>
  <c r="U923" i="1"/>
  <c r="V939" i="1"/>
  <c r="U1016" i="1"/>
  <c r="V1016" i="1"/>
  <c r="V1047" i="1"/>
  <c r="U1047" i="1"/>
  <c r="U1049" i="1"/>
  <c r="V1049" i="1"/>
  <c r="U1126" i="1"/>
  <c r="V1126" i="1"/>
  <c r="V777" i="1"/>
  <c r="U777" i="1"/>
  <c r="V911" i="1"/>
  <c r="U911" i="1"/>
  <c r="U1027" i="1"/>
  <c r="V1027" i="1"/>
  <c r="U1038" i="1"/>
  <c r="V1038" i="1"/>
  <c r="U1103" i="1"/>
  <c r="V1103" i="1"/>
  <c r="T335" i="1"/>
  <c r="T345" i="1"/>
  <c r="T371" i="1"/>
  <c r="T459" i="1"/>
  <c r="T484" i="1"/>
  <c r="T499" i="1"/>
  <c r="T515" i="1"/>
  <c r="T550" i="1"/>
  <c r="T556" i="1"/>
  <c r="T572" i="1"/>
  <c r="T610" i="1"/>
  <c r="T674" i="1"/>
  <c r="T761" i="1"/>
  <c r="V894" i="1"/>
  <c r="U894" i="1"/>
  <c r="U1152" i="1"/>
  <c r="V1152" i="1"/>
  <c r="V1199" i="1"/>
  <c r="U1199" i="1"/>
  <c r="T599" i="1"/>
  <c r="T625" i="1"/>
  <c r="T633" i="1"/>
  <c r="T635" i="1"/>
  <c r="T709" i="1"/>
  <c r="T711" i="1"/>
  <c r="T713" i="1"/>
  <c r="T802" i="1"/>
  <c r="U1013" i="1"/>
  <c r="V1013" i="1"/>
  <c r="T1105" i="1"/>
  <c r="T414" i="1"/>
  <c r="T424" i="1"/>
  <c r="T429" i="1"/>
  <c r="T432" i="1"/>
  <c r="T442" i="1"/>
  <c r="T475" i="1"/>
  <c r="T494" i="1"/>
  <c r="T520" i="1"/>
  <c r="T552" i="1"/>
  <c r="T563" i="1"/>
  <c r="T577" i="1"/>
  <c r="T604" i="1"/>
  <c r="T617" i="1"/>
  <c r="T630" i="1"/>
  <c r="U818" i="1"/>
  <c r="V818" i="1"/>
  <c r="V858" i="1"/>
  <c r="U858" i="1"/>
  <c r="V876" i="1"/>
  <c r="U876" i="1"/>
  <c r="U889" i="1"/>
  <c r="V889" i="1"/>
  <c r="U942" i="1"/>
  <c r="V942" i="1"/>
  <c r="V976" i="1"/>
  <c r="U1001" i="1"/>
  <c r="V1001" i="1"/>
  <c r="T1029" i="1"/>
  <c r="V1031" i="1"/>
  <c r="U1031" i="1"/>
  <c r="V1046" i="1"/>
  <c r="U1046" i="1"/>
  <c r="V1185" i="1"/>
  <c r="U1185" i="1"/>
  <c r="V1231" i="1"/>
  <c r="U1231" i="1"/>
  <c r="U727" i="1"/>
  <c r="V796" i="1"/>
  <c r="U796" i="1"/>
  <c r="U881" i="1"/>
  <c r="V881" i="1"/>
  <c r="U1132" i="1"/>
  <c r="V1132" i="1"/>
  <c r="V1144" i="1"/>
  <c r="U1144" i="1"/>
  <c r="U1258" i="1"/>
  <c r="V1258" i="1"/>
  <c r="T439" i="1"/>
  <c r="T456" i="1"/>
  <c r="T483" i="1"/>
  <c r="U552" i="1"/>
  <c r="T555" i="1"/>
  <c r="T582" i="1"/>
  <c r="V599" i="1"/>
  <c r="U604" i="1"/>
  <c r="T606" i="1"/>
  <c r="V620" i="1"/>
  <c r="U635" i="1"/>
  <c r="T691" i="1"/>
  <c r="U713" i="1"/>
  <c r="T733" i="1"/>
  <c r="T735" i="1"/>
  <c r="V802" i="1"/>
  <c r="T806" i="1"/>
  <c r="V866" i="1"/>
  <c r="U866" i="1"/>
  <c r="V869" i="1"/>
  <c r="U869" i="1"/>
  <c r="U870" i="1"/>
  <c r="V904" i="1"/>
  <c r="U980" i="1"/>
  <c r="U1003" i="1"/>
  <c r="V1003" i="1"/>
  <c r="U1035" i="1"/>
  <c r="V1035" i="1"/>
  <c r="T932" i="1"/>
  <c r="T1081" i="1"/>
  <c r="T1227" i="1"/>
  <c r="V1238" i="1"/>
  <c r="U1250" i="1"/>
  <c r="T1252" i="1"/>
  <c r="V1271" i="1"/>
  <c r="U1296" i="1"/>
  <c r="T949" i="1"/>
  <c r="T962" i="1"/>
  <c r="T1193" i="1"/>
  <c r="T1195" i="1"/>
  <c r="T1237" i="1"/>
  <c r="T1240" i="1"/>
  <c r="T1261" i="1"/>
  <c r="V1283" i="1"/>
  <c r="T1285" i="1"/>
  <c r="T1288" i="1"/>
  <c r="V1291" i="1"/>
  <c r="U938" i="1"/>
  <c r="U967" i="1"/>
  <c r="V1006" i="1"/>
  <c r="U1062" i="1"/>
  <c r="U1070" i="1"/>
  <c r="V1128" i="1"/>
  <c r="U1148" i="1"/>
  <c r="U1160" i="1"/>
  <c r="U1172" i="1"/>
  <c r="V1200" i="1"/>
  <c r="T1205" i="1"/>
  <c r="U1206" i="1"/>
  <c r="U1219" i="1"/>
  <c r="T1222" i="1"/>
  <c r="T1266" i="1"/>
  <c r="T1290" i="1"/>
  <c r="T1295" i="1"/>
  <c r="T1141" i="1"/>
  <c r="T1185" i="1"/>
  <c r="V1188" i="1"/>
  <c r="U1243" i="1"/>
  <c r="T1248" i="1"/>
  <c r="V1264" i="1"/>
  <c r="T1272" i="1"/>
  <c r="V926" i="1"/>
  <c r="V951" i="1"/>
  <c r="U959" i="1"/>
  <c r="V988" i="1"/>
  <c r="U1020" i="1"/>
  <c r="U1107" i="1"/>
  <c r="U1130" i="1"/>
  <c r="U1139" i="1"/>
  <c r="U1151" i="1"/>
  <c r="U1159" i="1"/>
  <c r="U1163" i="1"/>
  <c r="U1171" i="1"/>
  <c r="U1208" i="1"/>
  <c r="T1228" i="1"/>
  <c r="V1229" i="1"/>
  <c r="U1234" i="1"/>
  <c r="T1236" i="1"/>
  <c r="U1245" i="1"/>
  <c r="U1266" i="1"/>
  <c r="U1280" i="1"/>
  <c r="U1290" i="1"/>
  <c r="T729" i="1"/>
  <c r="T750" i="1"/>
  <c r="U929" i="1"/>
  <c r="U945" i="1"/>
  <c r="U966" i="1"/>
  <c r="U972" i="1"/>
  <c r="V1008" i="1"/>
  <c r="U1036" i="1"/>
  <c r="T1116" i="1"/>
  <c r="U1133" i="1"/>
  <c r="T1194" i="1"/>
  <c r="T1204" i="1"/>
  <c r="V1216" i="1"/>
  <c r="T1292" i="1"/>
  <c r="T965" i="1"/>
  <c r="T1207" i="1"/>
  <c r="V1226" i="1"/>
  <c r="U1242" i="1"/>
  <c r="T1265" i="1"/>
  <c r="V1274" i="1"/>
  <c r="T1294" i="1"/>
  <c r="T1030" i="1"/>
  <c r="T1090" i="1"/>
  <c r="T1250" i="1"/>
  <c r="T1255" i="1"/>
  <c r="T1296" i="1"/>
  <c r="U1233" i="1"/>
  <c r="U1276" i="1"/>
  <c r="T1230" i="1"/>
  <c r="T1246" i="1"/>
  <c r="T1273" i="1"/>
  <c r="U1294" i="1"/>
  <c r="T11" i="1"/>
  <c r="U21" i="1"/>
  <c r="V21" i="1"/>
  <c r="U62" i="1"/>
  <c r="V74" i="1"/>
  <c r="T96" i="1"/>
  <c r="V108" i="1"/>
  <c r="V149" i="1"/>
  <c r="U149" i="1"/>
  <c r="U254" i="1"/>
  <c r="V254" i="1"/>
  <c r="V269" i="1"/>
  <c r="U269" i="1"/>
  <c r="V310" i="1"/>
  <c r="U310" i="1"/>
  <c r="V72" i="1"/>
  <c r="U72" i="1"/>
  <c r="T175" i="1"/>
  <c r="V199" i="1"/>
  <c r="U199" i="1"/>
  <c r="T202" i="1"/>
  <c r="V211" i="1"/>
  <c r="U211" i="1"/>
  <c r="T303" i="1"/>
  <c r="V339" i="1"/>
  <c r="U339" i="1"/>
  <c r="V178" i="1"/>
  <c r="U178" i="1"/>
  <c r="V256" i="1"/>
  <c r="U256" i="1"/>
  <c r="V259" i="1"/>
  <c r="U259" i="1"/>
  <c r="U280" i="1"/>
  <c r="V280" i="1"/>
  <c r="F7" i="6"/>
  <c r="L7" i="6"/>
  <c r="I7" i="6"/>
  <c r="W1301" i="1"/>
  <c r="V51" i="1"/>
  <c r="U51" i="1"/>
  <c r="V83" i="1"/>
  <c r="U83" i="1"/>
  <c r="V138" i="1"/>
  <c r="U138" i="1"/>
  <c r="V168" i="1"/>
  <c r="U168" i="1"/>
  <c r="V262" i="1"/>
  <c r="U262" i="1"/>
  <c r="V315" i="1"/>
  <c r="U315" i="1"/>
  <c r="V17" i="1"/>
  <c r="U17" i="1"/>
  <c r="V146" i="1"/>
  <c r="U146" i="1"/>
  <c r="V286" i="1"/>
  <c r="U286" i="1"/>
  <c r="V39" i="1"/>
  <c r="U39" i="1"/>
  <c r="U14" i="1"/>
  <c r="U18" i="1"/>
  <c r="N14" i="6"/>
  <c r="J12" i="6"/>
  <c r="N11" i="6"/>
  <c r="J9" i="6"/>
  <c r="N8" i="6"/>
  <c r="E84" i="2"/>
  <c r="M14" i="6"/>
  <c r="Q13" i="6"/>
  <c r="E13" i="6"/>
  <c r="M11" i="6"/>
  <c r="E10" i="6"/>
  <c r="M8" i="6"/>
  <c r="E53" i="2"/>
  <c r="C19" i="2"/>
  <c r="D13" i="6"/>
  <c r="H12" i="6"/>
  <c r="D10" i="6"/>
  <c r="H9" i="6"/>
  <c r="K14" i="6"/>
  <c r="G12" i="6"/>
  <c r="K11" i="6"/>
  <c r="G9" i="6"/>
  <c r="K8" i="6"/>
  <c r="C53" i="2"/>
  <c r="E33" i="2"/>
  <c r="J14" i="6"/>
  <c r="N13" i="6"/>
  <c r="J11" i="6"/>
  <c r="N10" i="6"/>
  <c r="J8" i="6"/>
  <c r="E94" i="2"/>
  <c r="E4" i="2"/>
  <c r="M13" i="6"/>
  <c r="E12" i="6"/>
  <c r="M10" i="6"/>
  <c r="E9" i="6"/>
  <c r="E67" i="2"/>
  <c r="C33" i="2"/>
  <c r="H14" i="6"/>
  <c r="D12" i="6"/>
  <c r="H11" i="6"/>
  <c r="D9" i="6"/>
  <c r="H8" i="6"/>
  <c r="C94" i="2"/>
  <c r="C4" i="2"/>
  <c r="G14" i="6"/>
  <c r="K13" i="6"/>
  <c r="G11" i="6"/>
  <c r="K10" i="6"/>
  <c r="G8" i="6"/>
  <c r="C67" i="2"/>
  <c r="J13" i="6"/>
  <c r="N12" i="6"/>
  <c r="J10" i="6"/>
  <c r="N9" i="6"/>
  <c r="E104" i="2"/>
  <c r="E14" i="6"/>
  <c r="M12" i="6"/>
  <c r="E11" i="6"/>
  <c r="M9" i="6"/>
  <c r="E8" i="6"/>
  <c r="D14" i="6"/>
  <c r="H13" i="6"/>
  <c r="D11" i="6"/>
  <c r="H10" i="6"/>
  <c r="D8" i="6"/>
  <c r="C104" i="2"/>
  <c r="G13" i="6"/>
  <c r="K12" i="6"/>
  <c r="G10" i="6"/>
  <c r="K9" i="6"/>
  <c r="E19" i="2"/>
  <c r="C84" i="2"/>
  <c r="V12" i="1"/>
  <c r="U12" i="1"/>
  <c r="V31" i="1"/>
  <c r="U40" i="1"/>
  <c r="V80" i="1"/>
  <c r="V94" i="1"/>
  <c r="U94" i="1"/>
  <c r="V117" i="1"/>
  <c r="U117" i="1"/>
  <c r="V175" i="1"/>
  <c r="V196" i="1"/>
  <c r="T223" i="1"/>
  <c r="V241" i="1"/>
  <c r="U241" i="1"/>
  <c r="U302" i="1"/>
  <c r="V302" i="1"/>
  <c r="V127" i="1"/>
  <c r="U127" i="1"/>
  <c r="V152" i="1"/>
  <c r="V189" i="1"/>
  <c r="U189" i="1"/>
  <c r="V217" i="1"/>
  <c r="V231" i="1"/>
  <c r="U231" i="1"/>
  <c r="U247" i="1"/>
  <c r="V247" i="1"/>
  <c r="U32" i="1"/>
  <c r="V32" i="1"/>
  <c r="V75" i="1"/>
  <c r="U95" i="1"/>
  <c r="V133" i="1"/>
  <c r="V156" i="1"/>
  <c r="V160" i="1"/>
  <c r="U160" i="1"/>
  <c r="V210" i="1"/>
  <c r="U210" i="1"/>
  <c r="V300" i="1"/>
  <c r="D92" i="2"/>
  <c r="D88" i="2"/>
  <c r="F53" i="2"/>
  <c r="D50" i="2"/>
  <c r="D46" i="2"/>
  <c r="D42" i="2"/>
  <c r="D38" i="2"/>
  <c r="D34" i="2"/>
  <c r="D8" i="2"/>
  <c r="D5" i="2"/>
  <c r="F102" i="2"/>
  <c r="F98" i="2"/>
  <c r="F94" i="2"/>
  <c r="D91" i="2"/>
  <c r="D87" i="2"/>
  <c r="F64" i="2"/>
  <c r="F60" i="2"/>
  <c r="F56" i="2"/>
  <c r="D49" i="2"/>
  <c r="D45" i="2"/>
  <c r="D41" i="2"/>
  <c r="D37" i="2"/>
  <c r="F18" i="2"/>
  <c r="F14" i="2"/>
  <c r="F10" i="2"/>
  <c r="F7" i="2"/>
  <c r="F4" i="2"/>
  <c r="D94" i="2"/>
  <c r="F90" i="2"/>
  <c r="F86" i="2"/>
  <c r="F52" i="2"/>
  <c r="F48" i="2"/>
  <c r="F44" i="2"/>
  <c r="F40" i="2"/>
  <c r="F36" i="2"/>
  <c r="D4" i="2"/>
  <c r="F101" i="2"/>
  <c r="F97" i="2"/>
  <c r="D90" i="2"/>
  <c r="D86" i="2"/>
  <c r="D67" i="2"/>
  <c r="F63" i="2"/>
  <c r="F59" i="2"/>
  <c r="F55" i="2"/>
  <c r="D52" i="2"/>
  <c r="D48" i="2"/>
  <c r="D44" i="2"/>
  <c r="D40" i="2"/>
  <c r="D36" i="2"/>
  <c r="F17" i="2"/>
  <c r="F13" i="2"/>
  <c r="F93" i="2"/>
  <c r="F89" i="2"/>
  <c r="F85" i="2"/>
  <c r="F51" i="2"/>
  <c r="F47" i="2"/>
  <c r="F43" i="2"/>
  <c r="F39" i="2"/>
  <c r="F35" i="2"/>
  <c r="D93" i="2"/>
  <c r="D89" i="2"/>
  <c r="D85" i="2"/>
  <c r="F66" i="2"/>
  <c r="F62" i="2"/>
  <c r="F58" i="2"/>
  <c r="F54" i="2"/>
  <c r="D51" i="2"/>
  <c r="D47" i="2"/>
  <c r="D43" i="2"/>
  <c r="D39" i="2"/>
  <c r="D35" i="2"/>
  <c r="F16" i="2"/>
  <c r="F12" i="2"/>
  <c r="F92" i="2"/>
  <c r="F88" i="2"/>
  <c r="F50" i="2"/>
  <c r="F46" i="2"/>
  <c r="F42" i="2"/>
  <c r="F38" i="2"/>
  <c r="F34" i="2"/>
  <c r="F8" i="2"/>
  <c r="F5" i="2"/>
  <c r="D106" i="2"/>
  <c r="D53" i="2"/>
  <c r="C1299" i="1"/>
  <c r="F33" i="2"/>
  <c r="F91" i="2"/>
  <c r="D72" i="2"/>
  <c r="F41" i="2"/>
  <c r="D22" i="2"/>
  <c r="D80" i="2"/>
  <c r="F49" i="2"/>
  <c r="D30" i="2"/>
  <c r="D110" i="2"/>
  <c r="F87" i="2"/>
  <c r="D68" i="2"/>
  <c r="F37" i="2"/>
  <c r="D76" i="2"/>
  <c r="F45" i="2"/>
  <c r="D26" i="2"/>
  <c r="V10" i="1"/>
  <c r="U25" i="1"/>
  <c r="U30" i="1"/>
  <c r="U47" i="1"/>
  <c r="V50" i="1"/>
  <c r="U50" i="1"/>
  <c r="U63" i="1"/>
  <c r="U79" i="1"/>
  <c r="V105" i="1"/>
  <c r="U105" i="1"/>
  <c r="U106" i="1"/>
  <c r="V123" i="1"/>
  <c r="U123" i="1"/>
  <c r="V179" i="1"/>
  <c r="U179" i="1"/>
  <c r="V238" i="1"/>
  <c r="T270" i="1"/>
  <c r="V324" i="1"/>
  <c r="U326" i="1"/>
  <c r="V326" i="1"/>
  <c r="T8" i="1"/>
  <c r="U53" i="1"/>
  <c r="V61" i="1"/>
  <c r="U61" i="1"/>
  <c r="V86" i="1"/>
  <c r="V93" i="1"/>
  <c r="U93" i="1"/>
  <c r="V102" i="1"/>
  <c r="V116" i="1"/>
  <c r="U116" i="1"/>
  <c r="V134" i="1"/>
  <c r="U134" i="1"/>
  <c r="V157" i="1"/>
  <c r="U157" i="1"/>
  <c r="V200" i="1"/>
  <c r="U200" i="1"/>
  <c r="V60" i="1"/>
  <c r="U60" i="1"/>
  <c r="T7" i="1"/>
  <c r="V84" i="1"/>
  <c r="U84" i="1"/>
  <c r="V97" i="1"/>
  <c r="V120" i="1"/>
  <c r="V126" i="1"/>
  <c r="U126" i="1"/>
  <c r="V172" i="1"/>
  <c r="U172" i="1"/>
  <c r="V188" i="1"/>
  <c r="U188" i="1"/>
  <c r="T191" i="1"/>
  <c r="V206" i="1"/>
  <c r="V221" i="1"/>
  <c r="U221" i="1"/>
  <c r="H1299" i="1"/>
  <c r="Q7" i="6"/>
  <c r="E7" i="6"/>
  <c r="E15" i="6" s="1"/>
  <c r="D7" i="6"/>
  <c r="N7" i="6"/>
  <c r="N15" i="6" s="1"/>
  <c r="M7" i="6"/>
  <c r="M15" i="6" s="1"/>
  <c r="K7" i="6"/>
  <c r="K15" i="6" s="1"/>
  <c r="J7" i="6"/>
  <c r="J15" i="6" s="1"/>
  <c r="H7" i="6"/>
  <c r="G7" i="6"/>
  <c r="G15" i="6" s="1"/>
  <c r="U43" i="1"/>
  <c r="V54" i="1"/>
  <c r="V65" i="1"/>
  <c r="V76" i="1"/>
  <c r="V87" i="1"/>
  <c r="V98" i="1"/>
  <c r="V109" i="1"/>
  <c r="V130" i="1"/>
  <c r="V142" i="1"/>
  <c r="V153" i="1"/>
  <c r="V164" i="1"/>
  <c r="V176" i="1"/>
  <c r="L8" i="6"/>
  <c r="I8" i="6"/>
  <c r="F8" i="6"/>
  <c r="V207" i="1"/>
  <c r="V218" i="1"/>
  <c r="V228" i="1"/>
  <c r="V273" i="1"/>
  <c r="T399" i="1"/>
  <c r="R1299" i="1"/>
  <c r="R1301" i="1"/>
  <c r="U183" i="1"/>
  <c r="U193" i="1"/>
  <c r="U204" i="1"/>
  <c r="U214" i="1"/>
  <c r="U235" i="1"/>
  <c r="V258" i="1"/>
  <c r="U278" i="1"/>
  <c r="U293" i="1"/>
  <c r="U369" i="1"/>
  <c r="U385" i="1"/>
  <c r="V385" i="1"/>
  <c r="V451" i="1"/>
  <c r="U451" i="1"/>
  <c r="U137" i="1"/>
  <c r="U148" i="1"/>
  <c r="U159" i="1"/>
  <c r="U171" i="1"/>
  <c r="U182" i="1"/>
  <c r="U192" i="1"/>
  <c r="U203" i="1"/>
  <c r="U213" i="1"/>
  <c r="U224" i="1"/>
  <c r="U234" i="1"/>
  <c r="U245" i="1"/>
  <c r="U251" i="1"/>
  <c r="T269" i="1"/>
  <c r="U288" i="1"/>
  <c r="U303" i="1"/>
  <c r="V313" i="1"/>
  <c r="T342" i="1"/>
  <c r="T352" i="1"/>
  <c r="U356" i="1"/>
  <c r="T358" i="1"/>
  <c r="V425" i="1"/>
  <c r="U425" i="1"/>
  <c r="V336" i="1"/>
  <c r="V420" i="1"/>
  <c r="U420" i="1"/>
  <c r="V466" i="1"/>
  <c r="U466" i="1"/>
  <c r="V314" i="1"/>
  <c r="U314" i="1"/>
  <c r="V392" i="1"/>
  <c r="U392" i="1"/>
  <c r="T254" i="1"/>
  <c r="T280" i="1"/>
  <c r="V616" i="1"/>
  <c r="U616" i="1"/>
  <c r="V343" i="1"/>
  <c r="U343" i="1"/>
  <c r="V353" i="1"/>
  <c r="U353" i="1"/>
  <c r="T265" i="1"/>
  <c r="U267" i="1"/>
  <c r="T372" i="1"/>
  <c r="T411" i="1"/>
  <c r="V371" i="1"/>
  <c r="V382" i="1"/>
  <c r="V408" i="1"/>
  <c r="V434" i="1"/>
  <c r="U434" i="1"/>
  <c r="V443" i="1"/>
  <c r="V457" i="1"/>
  <c r="V498" i="1"/>
  <c r="U360" i="1"/>
  <c r="U368" i="1"/>
  <c r="U379" i="1"/>
  <c r="U388" i="1"/>
  <c r="U407" i="1"/>
  <c r="V422" i="1"/>
  <c r="V702" i="1"/>
  <c r="U702" i="1"/>
  <c r="T405" i="1"/>
  <c r="T410" i="1"/>
  <c r="T416" i="1"/>
  <c r="V417" i="1"/>
  <c r="T437" i="1"/>
  <c r="V455" i="1"/>
  <c r="U455" i="1"/>
  <c r="V530" i="1"/>
  <c r="U530" i="1"/>
  <c r="V561" i="1"/>
  <c r="U561" i="1"/>
  <c r="V444" i="1"/>
  <c r="U444" i="1"/>
  <c r="V468" i="1"/>
  <c r="U468" i="1"/>
  <c r="V476" i="1"/>
  <c r="U476" i="1"/>
  <c r="V496" i="1"/>
  <c r="U496" i="1"/>
  <c r="V583" i="1"/>
  <c r="U583" i="1"/>
  <c r="U393" i="1"/>
  <c r="U441" i="1"/>
  <c r="V465" i="1"/>
  <c r="U465" i="1"/>
  <c r="V487" i="1"/>
  <c r="V541" i="1"/>
  <c r="U541" i="1"/>
  <c r="T447" i="1"/>
  <c r="T510" i="1"/>
  <c r="V610" i="1"/>
  <c r="U610" i="1"/>
  <c r="U653" i="1"/>
  <c r="V653" i="1"/>
  <c r="V507" i="1"/>
  <c r="U507" i="1"/>
  <c r="V518" i="1"/>
  <c r="U518" i="1"/>
  <c r="U686" i="1"/>
  <c r="V686" i="1"/>
  <c r="U461" i="1"/>
  <c r="V475" i="1"/>
  <c r="U475" i="1"/>
  <c r="V551" i="1"/>
  <c r="U551" i="1"/>
  <c r="V571" i="1"/>
  <c r="U571" i="1"/>
  <c r="V628" i="1"/>
  <c r="U628" i="1"/>
  <c r="U404" i="1"/>
  <c r="V415" i="1"/>
  <c r="V424" i="1"/>
  <c r="T457" i="1"/>
  <c r="V485" i="1"/>
  <c r="U485" i="1"/>
  <c r="T488" i="1"/>
  <c r="V593" i="1"/>
  <c r="U593" i="1"/>
  <c r="I9" i="6"/>
  <c r="F9" i="6"/>
  <c r="L9" i="6"/>
  <c r="U332" i="1"/>
  <c r="U363" i="1"/>
  <c r="U372" i="1"/>
  <c r="U383" i="1"/>
  <c r="U390" i="1"/>
  <c r="V432" i="1"/>
  <c r="V436" i="1"/>
  <c r="V459" i="1"/>
  <c r="U459" i="1"/>
  <c r="U486" i="1"/>
  <c r="U492" i="1"/>
  <c r="V509" i="1"/>
  <c r="U509" i="1"/>
  <c r="V520" i="1"/>
  <c r="U520" i="1"/>
  <c r="V396" i="1"/>
  <c r="V448" i="1"/>
  <c r="U448" i="1"/>
  <c r="V454" i="1"/>
  <c r="T467" i="1"/>
  <c r="V477" i="1"/>
  <c r="U477" i="1"/>
  <c r="V734" i="1"/>
  <c r="U734" i="1"/>
  <c r="V633" i="1"/>
  <c r="U633" i="1"/>
  <c r="V643" i="1"/>
  <c r="U643" i="1"/>
  <c r="V666" i="1"/>
  <c r="U666" i="1"/>
  <c r="V669" i="1"/>
  <c r="U669" i="1"/>
  <c r="T678" i="1"/>
  <c r="T712" i="1"/>
  <c r="T753" i="1"/>
  <c r="V759" i="1"/>
  <c r="U759" i="1"/>
  <c r="V689" i="1"/>
  <c r="U689" i="1"/>
  <c r="V709" i="1"/>
  <c r="U709" i="1"/>
  <c r="V773" i="1"/>
  <c r="U773" i="1"/>
  <c r="V677" i="1"/>
  <c r="U677" i="1"/>
  <c r="V691" i="1"/>
  <c r="U691" i="1"/>
  <c r="V699" i="1"/>
  <c r="U699" i="1"/>
  <c r="V721" i="1"/>
  <c r="U721" i="1"/>
  <c r="V731" i="1"/>
  <c r="U731" i="1"/>
  <c r="V779" i="1"/>
  <c r="U779" i="1"/>
  <c r="U478" i="1"/>
  <c r="U489" i="1"/>
  <c r="U500" i="1"/>
  <c r="U511" i="1"/>
  <c r="U522" i="1"/>
  <c r="U542" i="1"/>
  <c r="U563" i="1"/>
  <c r="U573" i="1"/>
  <c r="U584" i="1"/>
  <c r="U595" i="1"/>
  <c r="U611" i="1"/>
  <c r="U617" i="1"/>
  <c r="U629" i="1"/>
  <c r="V632" i="1"/>
  <c r="U632" i="1"/>
  <c r="U634" i="1"/>
  <c r="U639" i="1"/>
  <c r="V642" i="1"/>
  <c r="U642" i="1"/>
  <c r="U644" i="1"/>
  <c r="T656" i="1"/>
  <c r="T689" i="1"/>
  <c r="F10" i="6"/>
  <c r="L10" i="6"/>
  <c r="I10" i="6"/>
  <c r="V665" i="1"/>
  <c r="U665" i="1"/>
  <c r="V679" i="1"/>
  <c r="U679" i="1"/>
  <c r="V711" i="1"/>
  <c r="U711" i="1"/>
  <c r="V655" i="1"/>
  <c r="U655" i="1"/>
  <c r="V688" i="1"/>
  <c r="U688" i="1"/>
  <c r="V698" i="1"/>
  <c r="U698" i="1"/>
  <c r="V701" i="1"/>
  <c r="U701" i="1"/>
  <c r="V708" i="1"/>
  <c r="U708" i="1"/>
  <c r="V723" i="1"/>
  <c r="U723" i="1"/>
  <c r="V733" i="1"/>
  <c r="U733" i="1"/>
  <c r="U656" i="1"/>
  <c r="V676" i="1"/>
  <c r="U676" i="1"/>
  <c r="U539" i="1"/>
  <c r="U549" i="1"/>
  <c r="U559" i="1"/>
  <c r="U570" i="1"/>
  <c r="U581" i="1"/>
  <c r="U601" i="1"/>
  <c r="U608" i="1"/>
  <c r="T620" i="1"/>
  <c r="U622" i="1"/>
  <c r="U627" i="1"/>
  <c r="T668" i="1"/>
  <c r="L11" i="6"/>
  <c r="I11" i="6"/>
  <c r="F11" i="6"/>
  <c r="U495" i="1"/>
  <c r="U517" i="1"/>
  <c r="U529" i="1"/>
  <c r="U558" i="1"/>
  <c r="U569" i="1"/>
  <c r="U580" i="1"/>
  <c r="U591" i="1"/>
  <c r="U614" i="1"/>
  <c r="T631" i="1"/>
  <c r="V646" i="1"/>
  <c r="U651" i="1"/>
  <c r="V654" i="1"/>
  <c r="U654" i="1"/>
  <c r="V687" i="1"/>
  <c r="U687" i="1"/>
  <c r="V690" i="1"/>
  <c r="U690" i="1"/>
  <c r="V742" i="1"/>
  <c r="U742" i="1"/>
  <c r="V710" i="1"/>
  <c r="U710" i="1"/>
  <c r="V744" i="1"/>
  <c r="U744" i="1"/>
  <c r="U625" i="1"/>
  <c r="V668" i="1"/>
  <c r="V678" i="1"/>
  <c r="U678" i="1"/>
  <c r="T690" i="1"/>
  <c r="V700" i="1"/>
  <c r="U700" i="1"/>
  <c r="V712" i="1"/>
  <c r="U712" i="1"/>
  <c r="V722" i="1"/>
  <c r="U722" i="1"/>
  <c r="V732" i="1"/>
  <c r="U732" i="1"/>
  <c r="T762" i="1"/>
  <c r="V840" i="1"/>
  <c r="U840" i="1"/>
  <c r="V862" i="1"/>
  <c r="U862" i="1"/>
  <c r="T874" i="1"/>
  <c r="V899" i="1"/>
  <c r="U899" i="1"/>
  <c r="V906" i="1"/>
  <c r="U906" i="1"/>
  <c r="V983" i="1"/>
  <c r="U983" i="1"/>
  <c r="V851" i="1"/>
  <c r="U851" i="1"/>
  <c r="T808" i="1"/>
  <c r="V830" i="1"/>
  <c r="U830" i="1"/>
  <c r="V871" i="1"/>
  <c r="U871" i="1"/>
  <c r="V914" i="1"/>
  <c r="U914" i="1"/>
  <c r="V935" i="1"/>
  <c r="U935" i="1"/>
  <c r="V826" i="1"/>
  <c r="U826" i="1"/>
  <c r="V883" i="1"/>
  <c r="U883" i="1"/>
  <c r="V908" i="1"/>
  <c r="U908" i="1"/>
  <c r="V861" i="1"/>
  <c r="U861" i="1"/>
  <c r="V873" i="1"/>
  <c r="U873" i="1"/>
  <c r="V940" i="1"/>
  <c r="U940" i="1"/>
  <c r="V808" i="1"/>
  <c r="V816" i="1"/>
  <c r="U816" i="1"/>
  <c r="V819" i="1"/>
  <c r="U819" i="1"/>
  <c r="U898" i="1"/>
  <c r="V898" i="1"/>
  <c r="V949" i="1"/>
  <c r="U949" i="1"/>
  <c r="U753" i="1"/>
  <c r="U774" i="1"/>
  <c r="U782" i="1"/>
  <c r="U817" i="1"/>
  <c r="U827" i="1"/>
  <c r="V836" i="1"/>
  <c r="V841" i="1"/>
  <c r="U841" i="1"/>
  <c r="V848" i="1"/>
  <c r="V850" i="1"/>
  <c r="U850" i="1"/>
  <c r="V891" i="1"/>
  <c r="U891" i="1"/>
  <c r="V761" i="1"/>
  <c r="U781" i="1"/>
  <c r="U787" i="1"/>
  <c r="V793" i="1"/>
  <c r="V809" i="1"/>
  <c r="U809" i="1"/>
  <c r="U811" i="1"/>
  <c r="V852" i="1"/>
  <c r="U852" i="1"/>
  <c r="V860" i="1"/>
  <c r="U860" i="1"/>
  <c r="U931" i="1"/>
  <c r="V931" i="1"/>
  <c r="U962" i="1"/>
  <c r="V962" i="1"/>
  <c r="U743" i="1"/>
  <c r="V752" i="1"/>
  <c r="U760" i="1"/>
  <c r="U765" i="1"/>
  <c r="V797" i="1"/>
  <c r="V805" i="1"/>
  <c r="U805" i="1"/>
  <c r="U807" i="1"/>
  <c r="V907" i="1"/>
  <c r="U907" i="1"/>
  <c r="U973" i="1"/>
  <c r="V973" i="1"/>
  <c r="U792" i="1"/>
  <c r="V839" i="1"/>
  <c r="V884" i="1"/>
  <c r="U884" i="1"/>
  <c r="V915" i="1"/>
  <c r="U915" i="1"/>
  <c r="U921" i="1"/>
  <c r="V921" i="1"/>
  <c r="U720" i="1"/>
  <c r="U730" i="1"/>
  <c r="U741" i="1"/>
  <c r="U751" i="1"/>
  <c r="U801" i="1"/>
  <c r="V837" i="1"/>
  <c r="U837" i="1"/>
  <c r="V849" i="1"/>
  <c r="U849" i="1"/>
  <c r="V872" i="1"/>
  <c r="U872" i="1"/>
  <c r="V927" i="1"/>
  <c r="U927" i="1"/>
  <c r="U764" i="1"/>
  <c r="V772" i="1"/>
  <c r="V786" i="1"/>
  <c r="V794" i="1"/>
  <c r="U794" i="1"/>
  <c r="U806" i="1"/>
  <c r="V825" i="1"/>
  <c r="V890" i="1"/>
  <c r="U890" i="1"/>
  <c r="V987" i="1"/>
  <c r="U987" i="1"/>
  <c r="V952" i="1"/>
  <c r="U952" i="1"/>
  <c r="U953" i="1"/>
  <c r="U970" i="1"/>
  <c r="V1019" i="1"/>
  <c r="U1019" i="1"/>
  <c r="V1033" i="1"/>
  <c r="U1033" i="1"/>
  <c r="U864" i="1"/>
  <c r="U875" i="1"/>
  <c r="U892" i="1"/>
  <c r="U900" i="1"/>
  <c r="U909" i="1"/>
  <c r="U917" i="1"/>
  <c r="V975" i="1"/>
  <c r="U975" i="1"/>
  <c r="V986" i="1"/>
  <c r="U986" i="1"/>
  <c r="V990" i="1"/>
  <c r="V1002" i="1"/>
  <c r="U1002" i="1"/>
  <c r="U863" i="1"/>
  <c r="U874" i="1"/>
  <c r="U885" i="1"/>
  <c r="U922" i="1"/>
  <c r="U956" i="1"/>
  <c r="V960" i="1"/>
  <c r="U960" i="1"/>
  <c r="T964" i="1"/>
  <c r="V998" i="1"/>
  <c r="U998" i="1"/>
  <c r="V1005" i="1"/>
  <c r="U1005" i="1"/>
  <c r="U1021" i="1"/>
  <c r="V1021" i="1"/>
  <c r="T920" i="1"/>
  <c r="I12" i="6"/>
  <c r="F12" i="6"/>
  <c r="L12" i="6"/>
  <c r="T930" i="1"/>
  <c r="V971" i="1"/>
  <c r="U971" i="1"/>
  <c r="U1030" i="1"/>
  <c r="V1030" i="1"/>
  <c r="U961" i="1"/>
  <c r="V963" i="1"/>
  <c r="U963" i="1"/>
  <c r="U964" i="1"/>
  <c r="V994" i="1"/>
  <c r="U994" i="1"/>
  <c r="V974" i="1"/>
  <c r="U974" i="1"/>
  <c r="V978" i="1"/>
  <c r="V1037" i="1"/>
  <c r="U1037" i="1"/>
  <c r="V937" i="1"/>
  <c r="U937" i="1"/>
  <c r="V997" i="1"/>
  <c r="U997" i="1"/>
  <c r="V1045" i="1"/>
  <c r="U1045" i="1"/>
  <c r="V1092" i="1"/>
  <c r="U1092" i="1"/>
  <c r="F13" i="6"/>
  <c r="L13" i="6"/>
  <c r="I13" i="6"/>
  <c r="V1124" i="1"/>
  <c r="U1146" i="1"/>
  <c r="V1146" i="1"/>
  <c r="U1298" i="1"/>
  <c r="V1011" i="1"/>
  <c r="U1011" i="1"/>
  <c r="V1042" i="1"/>
  <c r="V1075" i="1"/>
  <c r="T1092" i="1"/>
  <c r="T1103" i="1"/>
  <c r="U1218" i="1"/>
  <c r="V1218" i="1"/>
  <c r="V1235" i="1"/>
  <c r="U1235" i="1"/>
  <c r="V1057" i="1"/>
  <c r="U1057" i="1"/>
  <c r="V1067" i="1"/>
  <c r="U1067" i="1"/>
  <c r="V1176" i="1"/>
  <c r="U1176" i="1"/>
  <c r="V1055" i="1"/>
  <c r="V1074" i="1"/>
  <c r="V1127" i="1"/>
  <c r="U1134" i="1"/>
  <c r="U1140" i="1"/>
  <c r="V1174" i="1"/>
  <c r="V1193" i="1"/>
  <c r="V1224" i="1"/>
  <c r="U1224" i="1"/>
  <c r="U1227" i="1"/>
  <c r="V1268" i="1"/>
  <c r="U1268" i="1"/>
  <c r="V1022" i="1"/>
  <c r="U1022" i="1"/>
  <c r="U1034" i="1"/>
  <c r="U1058" i="1"/>
  <c r="V1064" i="1"/>
  <c r="U1106" i="1"/>
  <c r="U1184" i="1"/>
  <c r="V1184" i="1"/>
  <c r="U1209" i="1"/>
  <c r="V1209" i="1"/>
  <c r="U1018" i="1"/>
  <c r="U1029" i="1"/>
  <c r="U1048" i="1"/>
  <c r="U1063" i="1"/>
  <c r="U1073" i="1"/>
  <c r="U1077" i="1"/>
  <c r="U1080" i="1"/>
  <c r="U1083" i="1"/>
  <c r="U1086" i="1"/>
  <c r="U1089" i="1"/>
  <c r="U1100" i="1"/>
  <c r="U1123" i="1"/>
  <c r="V1155" i="1"/>
  <c r="U1155" i="1"/>
  <c r="V1180" i="1"/>
  <c r="U1180" i="1"/>
  <c r="V1195" i="1"/>
  <c r="U1023" i="1"/>
  <c r="U1054" i="1"/>
  <c r="T1076" i="1"/>
  <c r="T1088" i="1"/>
  <c r="V1255" i="1"/>
  <c r="V1044" i="1"/>
  <c r="V1056" i="1"/>
  <c r="U1056" i="1"/>
  <c r="U1120" i="1"/>
  <c r="V1217" i="1"/>
  <c r="U1217" i="1"/>
  <c r="U1094" i="1"/>
  <c r="V1282" i="1"/>
  <c r="U1282" i="1"/>
  <c r="V1010" i="1"/>
  <c r="V1068" i="1"/>
  <c r="U1068" i="1"/>
  <c r="U1076" i="1"/>
  <c r="U1079" i="1"/>
  <c r="U1082" i="1"/>
  <c r="U1085" i="1"/>
  <c r="U1088" i="1"/>
  <c r="U1091" i="1"/>
  <c r="U1102" i="1"/>
  <c r="T1147" i="1"/>
  <c r="U1158" i="1"/>
  <c r="V1257" i="1"/>
  <c r="V1168" i="1"/>
  <c r="V1201" i="1"/>
  <c r="V1211" i="1"/>
  <c r="U1225" i="1"/>
  <c r="V1251" i="1"/>
  <c r="V1259" i="1"/>
  <c r="U1288" i="1"/>
  <c r="L14" i="6"/>
  <c r="I14" i="6"/>
  <c r="F14" i="6"/>
  <c r="T1218" i="1"/>
  <c r="O1299" i="1"/>
  <c r="P1299" i="1" s="1"/>
  <c r="U1093" i="1"/>
  <c r="U1105" i="1"/>
  <c r="U1114" i="1"/>
  <c r="U1122" i="1"/>
  <c r="U1129" i="1"/>
  <c r="V1142" i="1"/>
  <c r="U1165" i="1"/>
  <c r="U1189" i="1"/>
  <c r="U1194" i="1"/>
  <c r="U1212" i="1"/>
  <c r="U1256" i="1"/>
  <c r="U1260" i="1"/>
  <c r="V1275" i="1"/>
  <c r="U1275" i="1"/>
  <c r="U1277" i="1"/>
  <c r="P1075" i="1"/>
  <c r="U1104" i="1"/>
  <c r="U1121" i="1"/>
  <c r="V1135" i="1"/>
  <c r="U1147" i="1"/>
  <c r="U1154" i="1"/>
  <c r="U1169" i="1"/>
  <c r="V1175" i="1"/>
  <c r="U1198" i="1"/>
  <c r="V1202" i="1"/>
  <c r="V1230" i="1"/>
  <c r="U1252" i="1"/>
  <c r="U1272" i="1"/>
  <c r="V1281" i="1"/>
  <c r="U1295" i="1"/>
  <c r="V1297" i="1"/>
  <c r="U1297" i="1"/>
  <c r="V1113" i="1"/>
  <c r="V1179" i="1"/>
  <c r="V1210" i="1"/>
  <c r="U1210" i="1"/>
  <c r="V1237" i="1"/>
  <c r="U1244" i="1"/>
  <c r="V1244" i="1"/>
  <c r="N1299" i="1"/>
  <c r="D16" i="2"/>
  <c r="D55" i="2"/>
  <c r="F67" i="2"/>
  <c r="F96" i="2"/>
  <c r="F107" i="2"/>
  <c r="F6" i="2"/>
  <c r="D17" i="2"/>
  <c r="F27" i="2"/>
  <c r="D56" i="2"/>
  <c r="F68" i="2"/>
  <c r="F77" i="2"/>
  <c r="D97" i="2"/>
  <c r="F108" i="2"/>
  <c r="T1234" i="1"/>
  <c r="D7" i="2"/>
  <c r="D18" i="2"/>
  <c r="F28" i="2"/>
  <c r="F57" i="2"/>
  <c r="D57" i="2"/>
  <c r="F78" i="2"/>
  <c r="D98" i="2"/>
  <c r="F109" i="2"/>
  <c r="D19" i="2"/>
  <c r="F19" i="2"/>
  <c r="F29" i="2"/>
  <c r="D58" i="2"/>
  <c r="F69" i="2"/>
  <c r="F79" i="2"/>
  <c r="F99" i="2"/>
  <c r="D99" i="2"/>
  <c r="F110" i="2"/>
  <c r="F20" i="2"/>
  <c r="F30" i="2"/>
  <c r="D59" i="2"/>
  <c r="F70" i="2"/>
  <c r="F80" i="2"/>
  <c r="F100" i="2"/>
  <c r="F9" i="2"/>
  <c r="F21" i="2"/>
  <c r="D60" i="2"/>
  <c r="F71" i="2"/>
  <c r="D101" i="2"/>
  <c r="F111" i="2"/>
  <c r="D10" i="2"/>
  <c r="F22" i="2"/>
  <c r="F31" i="2"/>
  <c r="F61" i="2"/>
  <c r="D61" i="2"/>
  <c r="F72" i="2"/>
  <c r="F81" i="2"/>
  <c r="D102" i="2"/>
  <c r="F11" i="2"/>
  <c r="D11" i="2"/>
  <c r="F32" i="2"/>
  <c r="D62" i="2"/>
  <c r="F82" i="2"/>
  <c r="F103" i="2"/>
  <c r="D103" i="2"/>
  <c r="D12" i="2"/>
  <c r="F23" i="2"/>
  <c r="D33" i="2"/>
  <c r="D63" i="2"/>
  <c r="F73" i="2"/>
  <c r="F83" i="2"/>
  <c r="F104" i="2"/>
  <c r="D13" i="2"/>
  <c r="F24" i="2"/>
  <c r="D64" i="2"/>
  <c r="F74" i="2"/>
  <c r="D84" i="2"/>
  <c r="F105" i="2"/>
  <c r="T1243" i="1"/>
  <c r="D14" i="2"/>
  <c r="F25" i="2"/>
  <c r="F65" i="2"/>
  <c r="D65" i="2"/>
  <c r="F75" i="2"/>
  <c r="F106" i="2"/>
  <c r="F15" i="2"/>
  <c r="D15" i="2"/>
  <c r="F26" i="2"/>
  <c r="D54" i="2"/>
  <c r="D66" i="2"/>
  <c r="F76" i="2"/>
  <c r="F95" i="2"/>
  <c r="D95" i="2"/>
  <c r="N54" i="4"/>
  <c r="D23" i="2"/>
  <c r="D27" i="2"/>
  <c r="D31" i="2"/>
  <c r="D69" i="2"/>
  <c r="D73" i="2"/>
  <c r="D77" i="2"/>
  <c r="D81" i="2"/>
  <c r="F84" i="2"/>
  <c r="D107" i="2"/>
  <c r="D111" i="2"/>
  <c r="D96" i="2"/>
  <c r="D100" i="2"/>
  <c r="D104" i="2"/>
  <c r="D6" i="2"/>
  <c r="D9" i="2"/>
  <c r="D20" i="2"/>
  <c r="D24" i="2"/>
  <c r="D28" i="2"/>
  <c r="D32" i="2"/>
  <c r="D70" i="2"/>
  <c r="D74" i="2"/>
  <c r="D78" i="2"/>
  <c r="D82" i="2"/>
  <c r="D108" i="2"/>
  <c r="D21" i="2"/>
  <c r="D25" i="2"/>
  <c r="D29" i="2"/>
  <c r="D71" i="2"/>
  <c r="D75" i="2"/>
  <c r="D79" i="2"/>
  <c r="D83" i="2"/>
  <c r="D105" i="2"/>
  <c r="D109" i="2"/>
  <c r="A17" i="1" l="1"/>
  <c r="A18" i="1"/>
  <c r="H15" i="6"/>
  <c r="Q8" i="6"/>
  <c r="P9" i="6"/>
  <c r="P10" i="6"/>
  <c r="O10" i="6" s="1"/>
  <c r="R10" i="6" s="1"/>
  <c r="Q11" i="6"/>
  <c r="U1301" i="1"/>
  <c r="Q10" i="6"/>
  <c r="Q9" i="6"/>
  <c r="P13" i="6"/>
  <c r="O13" i="6" s="1"/>
  <c r="R13" i="6" s="1"/>
  <c r="P11" i="6"/>
  <c r="O11" i="6" s="1"/>
  <c r="R11" i="6" s="1"/>
  <c r="P12" i="6"/>
  <c r="O12" i="6" s="1"/>
  <c r="R12" i="6" s="1"/>
  <c r="P8" i="6"/>
  <c r="O8" i="6" s="1"/>
  <c r="R8" i="6" s="1"/>
  <c r="Q12" i="6"/>
  <c r="P7" i="6"/>
  <c r="O7" i="6" s="1"/>
  <c r="P14" i="6"/>
  <c r="Q14" i="6"/>
  <c r="T10" i="6"/>
  <c r="I15" i="6"/>
  <c r="T8" i="6"/>
  <c r="L15" i="6"/>
  <c r="F112" i="2"/>
  <c r="J6" i="2"/>
  <c r="J8" i="2"/>
  <c r="J5" i="2"/>
  <c r="J4" i="2"/>
  <c r="J7" i="2"/>
  <c r="T13" i="6"/>
  <c r="F15" i="6"/>
  <c r="T11" i="6"/>
  <c r="C112" i="2"/>
  <c r="D112" i="2"/>
  <c r="T1299" i="1"/>
  <c r="T1301" i="1"/>
  <c r="T14" i="6"/>
  <c r="T9" i="6"/>
  <c r="V1301" i="1"/>
  <c r="E112" i="2"/>
  <c r="T12" i="6"/>
  <c r="V1299" i="1"/>
  <c r="U1299" i="1"/>
  <c r="D15" i="6"/>
  <c r="T7" i="6"/>
  <c r="A20" i="1" l="1"/>
  <c r="A19" i="1"/>
  <c r="O14" i="6"/>
  <c r="R14" i="6" s="1"/>
  <c r="Q15" i="6"/>
  <c r="T15" i="6"/>
  <c r="P15" i="6"/>
  <c r="O9" i="6"/>
  <c r="R9" i="6" s="1"/>
  <c r="J9" i="2"/>
  <c r="R7" i="6"/>
  <c r="A21" i="1" l="1"/>
  <c r="O15" i="6"/>
  <c r="R15" i="6" s="1"/>
  <c r="A22" i="1" l="1"/>
  <c r="A23" i="1" l="1"/>
  <c r="A24" i="1" l="1"/>
  <c r="A25" i="1" l="1"/>
  <c r="A26" i="1" s="1"/>
  <c r="A29" i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27" i="1"/>
  <c r="A28" i="1" s="1"/>
  <c r="A30" i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174" i="1" l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Q4" authorId="0" shapeId="0" xr:uid="{00000000-0006-0000-0000-00001D000000}">
      <text>
        <r>
          <rPr>
            <sz val="12"/>
            <color theme="1"/>
            <rFont val="Times New Roman"/>
            <scheme val="minor"/>
          </rPr>
          <t>Ví dụ 1: “Chưa có”; Ví dụ 2: “X-150”: là nhà xây, quy mô 150 chỗ ngồi; Ví dụ 3: “T-50”: là nhà tạm, quy mô 50 chỗ ngồi...
	-Hải1 Phạm</t>
        </r>
      </text>
    </comment>
    <comment ref="F82" authorId="0" shapeId="0" xr:uid="{00000000-0006-0000-0000-000001000000}">
      <text>
        <r>
          <rPr>
            <sz val="12"/>
            <color theme="1"/>
            <rFont val="Times New Roman"/>
            <scheme val="minor"/>
          </rPr>
          <t>Phạm Văn Hải:
Theo NQ97</t>
        </r>
      </text>
    </comment>
    <comment ref="F158" authorId="0" shapeId="0" xr:uid="{00000000-0006-0000-0000-000002000000}">
      <text>
        <r>
          <rPr>
            <sz val="12"/>
            <color theme="1"/>
            <rFont val="Times New Roman"/>
            <scheme val="minor"/>
          </rPr>
          <t>Phạm Văn Hải:
Theo NQ97</t>
        </r>
      </text>
    </comment>
    <comment ref="F159" authorId="0" shapeId="0" xr:uid="{00000000-0006-0000-0000-000003000000}">
      <text>
        <r>
          <rPr>
            <sz val="12"/>
            <color theme="1"/>
            <rFont val="Times New Roman"/>
            <scheme val="minor"/>
          </rPr>
          <t>Phạm Văn Hải:
Theo NQ97</t>
        </r>
      </text>
    </comment>
    <comment ref="F161" authorId="0" shapeId="0" xr:uid="{00000000-0006-0000-0000-000004000000}">
      <text>
        <r>
          <rPr>
            <sz val="12"/>
            <color theme="1"/>
            <rFont val="Times New Roman"/>
            <scheme val="minor"/>
          </rPr>
          <t>Phạm Văn Hải:
Theo NQ97</t>
        </r>
      </text>
    </comment>
    <comment ref="F195" authorId="0" shapeId="0" xr:uid="{00000000-0006-0000-0000-000005000000}">
      <text>
        <r>
          <rPr>
            <sz val="12"/>
            <color theme="1"/>
            <rFont val="Times New Roman"/>
            <scheme val="minor"/>
          </rPr>
          <t>Phạm Văn Hải:
Theo NQ97</t>
        </r>
      </text>
    </comment>
    <comment ref="F196" authorId="0" shapeId="0" xr:uid="{00000000-0006-0000-0000-000006000000}">
      <text>
        <r>
          <rPr>
            <sz val="12"/>
            <color theme="1"/>
            <rFont val="Times New Roman"/>
            <scheme val="minor"/>
          </rPr>
          <t>Phạm Văn Hải:
Theo NQ97</t>
        </r>
      </text>
    </comment>
    <comment ref="O200" authorId="0" shapeId="0" xr:uid="{00000000-0006-0000-0000-000007000000}">
      <text>
        <r>
          <rPr>
            <sz val="12"/>
            <color theme="1"/>
            <rFont val="Times New Roman"/>
            <scheme val="minor"/>
          </rPr>
          <t>Phạm Văn Hải:
Huyện và xã nhập sai là 3</t>
        </r>
      </text>
    </comment>
    <comment ref="F224" authorId="0" shapeId="0" xr:uid="{00000000-0006-0000-0000-000008000000}">
      <text>
        <r>
          <rPr>
            <sz val="12"/>
            <color theme="1"/>
            <rFont val="Times New Roman"/>
            <scheme val="minor"/>
          </rPr>
          <t>Phạm Văn Hải:
Theo NQ97</t>
        </r>
      </text>
    </comment>
    <comment ref="F231" authorId="0" shapeId="0" xr:uid="{00000000-0006-0000-0000-000009000000}">
      <text>
        <r>
          <rPr>
            <sz val="12"/>
            <color theme="1"/>
            <rFont val="Times New Roman"/>
            <scheme val="minor"/>
          </rPr>
          <t>Phạm Văn Hải:
Theo QĐ612: Thôn Bắc Lanh Chanh</t>
        </r>
      </text>
    </comment>
    <comment ref="F293" authorId="0" shapeId="0" xr:uid="{00000000-0006-0000-0000-00000A000000}">
      <text>
        <r>
          <rPr>
            <sz val="12"/>
            <color theme="1"/>
            <rFont val="Times New Roman"/>
            <scheme val="minor"/>
          </rPr>
          <t>Phạm Văn Hải:
Theo NQ97</t>
        </r>
      </text>
    </comment>
    <comment ref="F295" authorId="0" shapeId="0" xr:uid="{00000000-0006-0000-0000-00000B000000}">
      <text>
        <r>
          <rPr>
            <sz val="12"/>
            <color theme="1"/>
            <rFont val="Times New Roman"/>
            <scheme val="minor"/>
          </rPr>
          <t>Phạm Văn Hải:
Theo NQ97</t>
        </r>
      </text>
    </comment>
    <comment ref="F304" authorId="0" shapeId="0" xr:uid="{00000000-0006-0000-0000-00000C000000}">
      <text>
        <r>
          <rPr>
            <sz val="12"/>
            <color theme="1"/>
            <rFont val="Times New Roman"/>
            <scheme val="minor"/>
          </rPr>
          <t>Phạm Văn Hải:
Theo NQ97</t>
        </r>
      </text>
    </comment>
    <comment ref="F305" authorId="0" shapeId="0" xr:uid="{00000000-0006-0000-0000-00000D000000}">
      <text>
        <r>
          <rPr>
            <sz val="12"/>
            <color theme="1"/>
            <rFont val="Times New Roman"/>
            <scheme val="minor"/>
          </rPr>
          <t>Phạm Văn Hải:
Theo NQ97</t>
        </r>
      </text>
    </comment>
    <comment ref="F358" authorId="0" shapeId="0" xr:uid="{00000000-0006-0000-0000-00000E000000}">
      <text>
        <r>
          <rPr>
            <sz val="12"/>
            <color theme="1"/>
            <rFont val="Times New Roman"/>
            <scheme val="minor"/>
          </rPr>
          <t>Phạm Văn Hải:
Trước đây thuộc xã Phong Huân</t>
        </r>
      </text>
    </comment>
    <comment ref="F467" authorId="0" shapeId="0" xr:uid="{00000000-0006-0000-0000-00000F000000}">
      <text>
        <r>
          <rPr>
            <sz val="12"/>
            <color theme="1"/>
            <rFont val="Times New Roman"/>
            <scheme val="minor"/>
          </rPr>
          <t>Phạm Văn Hải:
Sáp nhập theo NQ97</t>
        </r>
      </text>
    </comment>
    <comment ref="F554" authorId="0" shapeId="0" xr:uid="{00000000-0006-0000-0000-000010000000}">
      <text>
        <r>
          <rPr>
            <sz val="12"/>
            <color theme="1"/>
            <rFont val="Times New Roman"/>
            <scheme val="minor"/>
          </rPr>
          <t>Phạm Văn Hải:
Theo NQ97</t>
        </r>
      </text>
    </comment>
    <comment ref="F555" authorId="0" shapeId="0" xr:uid="{00000000-0006-0000-0000-000011000000}">
      <text>
        <r>
          <rPr>
            <sz val="12"/>
            <color theme="1"/>
            <rFont val="Times New Roman"/>
            <scheme val="minor"/>
          </rPr>
          <t>Phạm Văn Hải:
Theo NQ97</t>
        </r>
      </text>
    </comment>
    <comment ref="F559" authorId="0" shapeId="0" xr:uid="{00000000-0006-0000-0000-000012000000}">
      <text>
        <r>
          <rPr>
            <sz val="12"/>
            <color theme="1"/>
            <rFont val="Times New Roman"/>
            <scheme val="minor"/>
          </rPr>
          <t>Phạm Văn Hải:
Trước đây là thôn Suối Hón</t>
        </r>
      </text>
    </comment>
    <comment ref="F560" authorId="0" shapeId="0" xr:uid="{00000000-0006-0000-0000-000013000000}">
      <text>
        <r>
          <rPr>
            <sz val="12"/>
            <color theme="1"/>
            <rFont val="Times New Roman"/>
            <scheme val="minor"/>
          </rPr>
          <t>Phạm Văn Hải:
Trước đây là thôn Bản Tèng</t>
        </r>
      </text>
    </comment>
    <comment ref="F561" authorId="0" shapeId="0" xr:uid="{00000000-0006-0000-0000-000014000000}">
      <text>
        <r>
          <rPr>
            <sz val="12"/>
            <color theme="1"/>
            <rFont val="Times New Roman"/>
            <scheme val="minor"/>
          </rPr>
          <t>Phạm Văn Hải:
Trước đây là thôn Nà Khon</t>
        </r>
      </text>
    </comment>
    <comment ref="F562" authorId="0" shapeId="0" xr:uid="{00000000-0006-0000-0000-000015000000}">
      <text>
        <r>
          <rPr>
            <sz val="12"/>
            <color theme="1"/>
            <rFont val="Times New Roman"/>
            <scheme val="minor"/>
          </rPr>
          <t>Phạm Văn Hải:
Trước đây là thôn Nà Mố</t>
        </r>
      </text>
    </comment>
    <comment ref="F563" authorId="0" shapeId="0" xr:uid="{00000000-0006-0000-0000-000016000000}">
      <text>
        <r>
          <rPr>
            <sz val="12"/>
            <color theme="1"/>
            <rFont val="Times New Roman"/>
            <scheme val="minor"/>
          </rPr>
          <t>Phạm Văn Hải:
Trước đây là thôn Làng Dao</t>
        </r>
      </text>
    </comment>
    <comment ref="F661" authorId="0" shapeId="0" xr:uid="{00000000-0006-0000-0000-000017000000}">
      <text>
        <r>
          <rPr>
            <sz val="12"/>
            <color theme="1"/>
            <rFont val="Times New Roman"/>
            <scheme val="minor"/>
          </rPr>
          <t>Phạm Văn Hải:
Tên mới sáp nhập theo NQ97</t>
        </r>
      </text>
    </comment>
    <comment ref="F792" authorId="0" shapeId="0" xr:uid="{00000000-0006-0000-0000-000018000000}">
      <text>
        <r>
          <rPr>
            <sz val="12"/>
            <color theme="1"/>
            <rFont val="Times New Roman"/>
            <scheme val="minor"/>
          </rPr>
          <t>Phạm Văn Hải:
Trước đây tên Khuổi Phầy - Còi. Nay đã đổi tên từ QĐ2089</t>
        </r>
      </text>
    </comment>
    <comment ref="F974" authorId="0" shapeId="0" xr:uid="{00000000-0006-0000-0000-000019000000}">
      <text>
        <r>
          <rPr>
            <sz val="12"/>
            <color theme="1"/>
            <rFont val="Times New Roman"/>
            <scheme val="minor"/>
          </rPr>
          <t>Phạm Văn Hải:
Sửa tên theo CV1715/UBND-NV ngày 06/7/2022</t>
        </r>
      </text>
    </comment>
    <comment ref="F977" authorId="0" shapeId="0" xr:uid="{00000000-0006-0000-0000-00001A000000}">
      <text>
        <r>
          <rPr>
            <sz val="12"/>
            <color theme="1"/>
            <rFont val="Times New Roman"/>
            <scheme val="minor"/>
          </rPr>
          <t>Phạm Văn Hải:
Tên theo NQ97</t>
        </r>
      </text>
    </comment>
    <comment ref="F990" authorId="0" shapeId="0" xr:uid="{00000000-0006-0000-0000-00001B000000}">
      <text>
        <r>
          <rPr>
            <sz val="12"/>
            <color theme="1"/>
            <rFont val="Times New Roman"/>
            <scheme val="minor"/>
          </rPr>
          <t>Phạm Văn Hải:
Sửa tên theo CV1715/UBND-NV ngày 06/7/2022</t>
        </r>
      </text>
    </comment>
    <comment ref="F1064" authorId="0" shapeId="0" xr:uid="{00000000-0006-0000-0000-00001C000000}">
      <text>
        <r>
          <rPr>
            <sz val="12"/>
            <color theme="1"/>
            <rFont val="Times New Roman"/>
            <scheme val="minor"/>
          </rPr>
          <t>Phạm Văn Hải:
QĐ612: Thông Bó Mòn</t>
        </r>
      </text>
    </comment>
  </commentList>
</comments>
</file>

<file path=xl/sharedStrings.xml><?xml version="1.0" encoding="utf-8"?>
<sst xmlns="http://schemas.openxmlformats.org/spreadsheetml/2006/main" count="5308" uniqueCount="1459">
  <si>
    <t>UBND TỈNH BẮC KẠN</t>
  </si>
  <si>
    <t>SỞ NỘI VỤ</t>
  </si>
  <si>
    <t>Tên ĐVHC
cấp huyện</t>
  </si>
  <si>
    <t>Tên ĐVHC
cấp xã</t>
  </si>
  <si>
    <t>Xã KV
I, II hoặc III
(QĐ861)</t>
  </si>
  <si>
    <t>Thôn KV
I, II hoặc III
(QĐ861)</t>
  </si>
  <si>
    <t>Tên thôn, tổ dân phố</t>
  </si>
  <si>
    <t>Tên NQ
(SN/ Đổi tên)</t>
  </si>
  <si>
    <t>Thôn
(Tổ)</t>
  </si>
  <si>
    <t>Tổng số hộ</t>
  </si>
  <si>
    <t>Tổng số hộ nghèo</t>
  </si>
  <si>
    <t>NVH/ NHT</t>
  </si>
  <si>
    <t>NVH (NHT)</t>
  </si>
  <si>
    <r>
      <rPr>
        <b/>
        <sz val="12"/>
        <color theme="1"/>
        <rFont val="Times New Roman"/>
      </rPr>
      <t xml:space="preserve">Diện ĐBKK
</t>
    </r>
    <r>
      <rPr>
        <i/>
        <sz val="12"/>
        <color rgb="FFFF0000"/>
        <rFont val="Times New Roman"/>
      </rPr>
      <t>(QĐ612)</t>
    </r>
  </si>
  <si>
    <r>
      <rPr>
        <b/>
        <sz val="11"/>
        <color theme="1"/>
        <rFont val="Times New Roman"/>
      </rPr>
      <t xml:space="preserve">Diện ĐBKK </t>
    </r>
    <r>
      <rPr>
        <i/>
        <sz val="11"/>
        <color rgb="FFFF0000"/>
        <rFont val="Times New Roman"/>
      </rPr>
      <t>(Test = hàm)</t>
    </r>
  </si>
  <si>
    <r>
      <rPr>
        <b/>
        <sz val="11"/>
        <color theme="1"/>
        <rFont val="Times New Roman"/>
      </rPr>
      <t xml:space="preserve">Diện sáp nhập 
</t>
    </r>
    <r>
      <rPr>
        <sz val="11"/>
        <color rgb="FFFF0000"/>
        <rFont val="Times New Roman"/>
      </rPr>
      <t>(&lt;70% TC)</t>
    </r>
  </si>
  <si>
    <t>Dự kiến phân loại thôn/tổ</t>
  </si>
  <si>
    <t>Ghi chú</t>
  </si>
  <si>
    <t>Tổng số khẩu</t>
  </si>
  <si>
    <t>Số hộ DTTS</t>
  </si>
  <si>
    <t>Tỷ lệ
(%)</t>
  </si>
  <si>
    <t>Tổng hộ nghèo</t>
  </si>
  <si>
    <t>Số hộ nghèo DTTS</t>
  </si>
  <si>
    <t>1</t>
  </si>
  <si>
    <t>2</t>
  </si>
  <si>
    <t>3</t>
  </si>
  <si>
    <t>P</t>
  </si>
  <si>
    <t>4</t>
  </si>
  <si>
    <t>5</t>
  </si>
  <si>
    <t>6</t>
  </si>
  <si>
    <t>7=6/5 x100%</t>
  </si>
  <si>
    <t>8</t>
  </si>
  <si>
    <t>9=8/5 x100%</t>
  </si>
  <si>
    <t>10</t>
  </si>
  <si>
    <t>11=10/8 x100%</t>
  </si>
  <si>
    <t>14</t>
  </si>
  <si>
    <t>I</t>
  </si>
  <si>
    <t>H. Ba Bể</t>
  </si>
  <si>
    <t>TT. Chợ Rã</t>
  </si>
  <si>
    <t>Tiểu khu 1</t>
  </si>
  <si>
    <t>NQ21-SN</t>
  </si>
  <si>
    <t>X-170</t>
  </si>
  <si>
    <t>Tiểu khu 2</t>
  </si>
  <si>
    <t>X-150</t>
  </si>
  <si>
    <t>Tiểu khu 3</t>
  </si>
  <si>
    <t>X-140</t>
  </si>
  <si>
    <t>Tiểu khu 4</t>
  </si>
  <si>
    <t>X-120</t>
  </si>
  <si>
    <t>Tiểu khu 5</t>
  </si>
  <si>
    <t>X-100</t>
  </si>
  <si>
    <t>Tiểu khu 6</t>
  </si>
  <si>
    <t>Tiểu khu 7</t>
  </si>
  <si>
    <t>Chưa có</t>
  </si>
  <si>
    <t>Tiểu khu 8</t>
  </si>
  <si>
    <t>X-98</t>
  </si>
  <si>
    <t>Tiểu khu 9</t>
  </si>
  <si>
    <t>X-80</t>
  </si>
  <si>
    <t>X. Bành Trạch</t>
  </si>
  <si>
    <t>III</t>
  </si>
  <si>
    <t>Thôn Bản Hon</t>
  </si>
  <si>
    <t>x</t>
  </si>
  <si>
    <t>Thôn Bản Lấp</t>
  </si>
  <si>
    <t>Thôn Khuổi Khét</t>
  </si>
  <si>
    <t>X-50</t>
  </si>
  <si>
    <t>Thôn Khuổi Sẳng</t>
  </si>
  <si>
    <t>Thôn Lủng Điếc</t>
  </si>
  <si>
    <t>Thôn Nà Còi</t>
  </si>
  <si>
    <t>Thôn Nà Dụ</t>
  </si>
  <si>
    <t>Thôn Nà Lần</t>
  </si>
  <si>
    <t>Thôn Nà Nộc</t>
  </si>
  <si>
    <t>Thôn Pác Châm</t>
  </si>
  <si>
    <t>Thôn Pác Pỉn</t>
  </si>
  <si>
    <t>Thôn Pàn Han</t>
  </si>
  <si>
    <t>Thôn Tồm Làm</t>
  </si>
  <si>
    <t>X. Cao Thượng</t>
  </si>
  <si>
    <t>Thôn Bản Cải</t>
  </si>
  <si>
    <t>Thôn Bản Cám</t>
  </si>
  <si>
    <t>Thôn Khuổi Hao</t>
  </si>
  <si>
    <t>Thôn Khuổi Tăng</t>
  </si>
  <si>
    <t>Thôn Khuổi Tầu</t>
  </si>
  <si>
    <t>Thôn Nà Sliến</t>
  </si>
  <si>
    <t>Thôn Nặm Cắm</t>
  </si>
  <si>
    <t>X-60</t>
  </si>
  <si>
    <t>Thôn Ngạm Khét</t>
  </si>
  <si>
    <t>Thôn Tọt Còn</t>
  </si>
  <si>
    <t>X-89</t>
  </si>
  <si>
    <t>X. Chu Hương</t>
  </si>
  <si>
    <t>Thôn Bản Lài</t>
  </si>
  <si>
    <t>Thôn Bản Lùng</t>
  </si>
  <si>
    <t>Thôn Bản Trù</t>
  </si>
  <si>
    <t>Thôn Bản Xả</t>
  </si>
  <si>
    <t>Thôn Khuổi Coóng</t>
  </si>
  <si>
    <t>Thôn Khuổi Ha</t>
  </si>
  <si>
    <t>Thôn Lũng Miều</t>
  </si>
  <si>
    <t>Thôn Nà Nao</t>
  </si>
  <si>
    <t>Thôn Nà Ngộm</t>
  </si>
  <si>
    <t>Thôn Nà Phầy</t>
  </si>
  <si>
    <t>Thôn Nà Quang</t>
  </si>
  <si>
    <t>Thôn Pác Chi</t>
  </si>
  <si>
    <t>Thôn Phiêng Kẻm</t>
  </si>
  <si>
    <t>Thôn Pù Mắt</t>
  </si>
  <si>
    <t>X. Địa Linh</t>
  </si>
  <si>
    <t>II</t>
  </si>
  <si>
    <t>Thôn Bản Váng</t>
  </si>
  <si>
    <t>Thôn Cốc Pái</t>
  </si>
  <si>
    <t>Thôn Nà Cáy</t>
  </si>
  <si>
    <t>Thôn Nà Đúc</t>
  </si>
  <si>
    <t>Thôn Nà Mô</t>
  </si>
  <si>
    <t>Thôn Pác Nghè</t>
  </si>
  <si>
    <t>Thôn Tát Dài</t>
  </si>
  <si>
    <t>Thôn Tiền Phong</t>
  </si>
  <si>
    <t>X. Đồng Phúc</t>
  </si>
  <si>
    <t>Thôn Bản Chán</t>
  </si>
  <si>
    <t>Thôn Cốc Coọng</t>
  </si>
  <si>
    <t>Thôn Cốc Phấy</t>
  </si>
  <si>
    <t>Thôn Khưa Quang</t>
  </si>
  <si>
    <t>Thôn Lủng Mình</t>
  </si>
  <si>
    <t>T-50</t>
  </si>
  <si>
    <t>Thôn Nà Bjoóc</t>
  </si>
  <si>
    <t>Thôn Nà Cà</t>
  </si>
  <si>
    <t>Thôn Nà Đứa</t>
  </si>
  <si>
    <t>Thôn Nà Khâu</t>
  </si>
  <si>
    <t>Thôn Nà Phạ</t>
  </si>
  <si>
    <t>Thôn Nà Thẩu</t>
  </si>
  <si>
    <t>Thôn Tẩn Lùng</t>
  </si>
  <si>
    <t>Thôn Tẩn Lượt</t>
  </si>
  <si>
    <t>X. Hà Hiệu</t>
  </si>
  <si>
    <t>Thôn Bản Mới</t>
  </si>
  <si>
    <t>Thôn Chợ Giải</t>
  </si>
  <si>
    <t>Thôn Cốc Lót</t>
  </si>
  <si>
    <t>Thôn Cốc Lùng</t>
  </si>
  <si>
    <t>Thôn Đông Đăm</t>
  </si>
  <si>
    <t>Thôn Khuổi Mản</t>
  </si>
  <si>
    <t>Thôn Lủng Tráng</t>
  </si>
  <si>
    <t>Thôn Nà Dài</t>
  </si>
  <si>
    <t>Thôn Nà Ma</t>
  </si>
  <si>
    <t>Thôn Nà Mèo</t>
  </si>
  <si>
    <t>NQ97-SN</t>
  </si>
  <si>
    <t>Thôn Nà Vài</t>
  </si>
  <si>
    <t>Thôn Vằng Kè</t>
  </si>
  <si>
    <t>X. Hoàng Trĩ</t>
  </si>
  <si>
    <t>Thôn Bản Duống</t>
  </si>
  <si>
    <t>Thôn Coọc Mu</t>
  </si>
  <si>
    <t>Thôn Nà Cọ</t>
  </si>
  <si>
    <t>Thôn Nà Diếu</t>
  </si>
  <si>
    <t>Thôn Nà Lườn</t>
  </si>
  <si>
    <t>Thôn Nà Slải</t>
  </si>
  <si>
    <t>X. Khang Ninh</t>
  </si>
  <si>
    <t>Thôn Bản Nản</t>
  </si>
  <si>
    <t>Thôn Bản Vài</t>
  </si>
  <si>
    <t>X-90</t>
  </si>
  <si>
    <t>Thôn Củm Pán</t>
  </si>
  <si>
    <t>Thôn Đồn Đèn</t>
  </si>
  <si>
    <t>Thôn Khau Ban</t>
  </si>
  <si>
    <t>X-30</t>
  </si>
  <si>
    <t>Thôn Khuổi Luông</t>
  </si>
  <si>
    <t>Thôn Nà Hàn</t>
  </si>
  <si>
    <t>Thôn Nà Kiêng</t>
  </si>
  <si>
    <t>X-70</t>
  </si>
  <si>
    <t>Thôn Nà Làng</t>
  </si>
  <si>
    <t>Thôn Nà Mằm</t>
  </si>
  <si>
    <t>Thôn Nà Mơ</t>
  </si>
  <si>
    <t>Thôn Nà Niểm</t>
  </si>
  <si>
    <t>Thôn Nà Niềng</t>
  </si>
  <si>
    <t>X. Mỹ Phương</t>
  </si>
  <si>
    <t>Thôn Bản Hậu</t>
  </si>
  <si>
    <t>Thôn Bjóoc Ve</t>
  </si>
  <si>
    <t>Thôn Cốc Muồi</t>
  </si>
  <si>
    <t>Thôn Khuổi Lùng</t>
  </si>
  <si>
    <t>Thôn Khuổi Sliến</t>
  </si>
  <si>
    <t>Thôn Mỹ Vy</t>
  </si>
  <si>
    <t>Thôn Nà Lầu</t>
  </si>
  <si>
    <t>Thôn Nà Ngò</t>
  </si>
  <si>
    <t>Thôn Nà Phiêng</t>
  </si>
  <si>
    <t>Thôn Phiêng Phường</t>
  </si>
  <si>
    <t>Thôn Pùng Chằm</t>
  </si>
  <si>
    <t>Thôn Thạch Ngõa I</t>
  </si>
  <si>
    <t>Thôn Thạch Ngõa II</t>
  </si>
  <si>
    <t>Thôn Vằng Kheo</t>
  </si>
  <si>
    <t>X. Nam Mẫu</t>
  </si>
  <si>
    <t>Thôn Bó Lù</t>
  </si>
  <si>
    <t>Thôn Cốc Tộc</t>
  </si>
  <si>
    <t>Thôn Đán Mẩy</t>
  </si>
  <si>
    <t>Thôn Khâu Qua</t>
  </si>
  <si>
    <t>Thôn Nà Nghè</t>
  </si>
  <si>
    <t>Thôn Nà Phại</t>
  </si>
  <si>
    <t>Thôn Nặm Dài</t>
  </si>
  <si>
    <t>Thôn Pác Ngòi</t>
  </si>
  <si>
    <t>X. Phúc Lộc</t>
  </si>
  <si>
    <t>Thôn Bản Luộc</t>
  </si>
  <si>
    <t>Thôn Cốc Diển</t>
  </si>
  <si>
    <t>Thôn Khuổi Luội</t>
  </si>
  <si>
    <t>Thôn Khuổi Pết</t>
  </si>
  <si>
    <t>Thôn Khuổi Tẩu</t>
  </si>
  <si>
    <t>Thôn Khuổi Trả</t>
  </si>
  <si>
    <t>Thôn Lủng Piầu</t>
  </si>
  <si>
    <t>Thôn Nà Hỏi</t>
  </si>
  <si>
    <t>Thôn Nà Khao</t>
  </si>
  <si>
    <t>Thôn Nhật Vẹn</t>
  </si>
  <si>
    <t>Thôn Phia Khao</t>
  </si>
  <si>
    <t>Thôn Phia Phạ</t>
  </si>
  <si>
    <t>Thôn Phiêng Chỉ</t>
  </si>
  <si>
    <t>Thôn Thiêng Điểm</t>
  </si>
  <si>
    <t>Thôn Vằng Quan</t>
  </si>
  <si>
    <t>X. Quảng Khê</t>
  </si>
  <si>
    <t>Thôn Bản Pyạc</t>
  </si>
  <si>
    <t>Thôn Bản Pyàn</t>
  </si>
  <si>
    <t>Thôn Chợ Lèng</t>
  </si>
  <si>
    <t>Thôn Lẻo Keo</t>
  </si>
  <si>
    <t>Thôn Lủng Quang</t>
  </si>
  <si>
    <t>Thôn Nà Chom</t>
  </si>
  <si>
    <t>Thôn Nà Hai</t>
  </si>
  <si>
    <t>Thôn Nà Lẻ</t>
  </si>
  <si>
    <t>X-75</t>
  </si>
  <si>
    <t>Thôn Pù Lùng</t>
  </si>
  <si>
    <t>Thôn Tổng Chảo</t>
  </si>
  <si>
    <t>X. Thượng Giáo</t>
  </si>
  <si>
    <t>Thôn Bản Ngù</t>
  </si>
  <si>
    <t>X-81</t>
  </si>
  <si>
    <t>Thôn Bản Piềng</t>
  </si>
  <si>
    <t>X-82</t>
  </si>
  <si>
    <t>Thôn Bản Pục</t>
  </si>
  <si>
    <t>X-83</t>
  </si>
  <si>
    <t>Thôn Dài Khao</t>
  </si>
  <si>
    <t>X-84</t>
  </si>
  <si>
    <t>Thôn Khuổi Mòn</t>
  </si>
  <si>
    <t>X-85</t>
  </si>
  <si>
    <t>Thôn Khuổi Slưn</t>
  </si>
  <si>
    <t>X-86</t>
  </si>
  <si>
    <t>Thôn Mỏ Đá</t>
  </si>
  <si>
    <t>X-87</t>
  </si>
  <si>
    <t>Thôn Nà Chả</t>
  </si>
  <si>
    <t>X-88</t>
  </si>
  <si>
    <t>Thôn Nà Ché</t>
  </si>
  <si>
    <t>Thôn Nà Hán</t>
  </si>
  <si>
    <t>Thôn Nà Khuổi</t>
  </si>
  <si>
    <t>X-91</t>
  </si>
  <si>
    <t>Thôn Nà Mặn</t>
  </si>
  <si>
    <t>X-92</t>
  </si>
  <si>
    <t>Thôn Nà Săm</t>
  </si>
  <si>
    <t>X-93</t>
  </si>
  <si>
    <t>Thôn Nà Tạ</t>
  </si>
  <si>
    <t>X-94</t>
  </si>
  <si>
    <t>Thôn Pác Phai</t>
  </si>
  <si>
    <t>X-95</t>
  </si>
  <si>
    <t>Thôn Phiêng Chì</t>
  </si>
  <si>
    <t>X-96</t>
  </si>
  <si>
    <t>Thôn Phiêng Toản</t>
  </si>
  <si>
    <t>X-97</t>
  </si>
  <si>
    <t>Thôn Phja Khao</t>
  </si>
  <si>
    <t>Thôn Tin Đồn</t>
  </si>
  <si>
    <t>X-99</t>
  </si>
  <si>
    <t>X. Yến Dương</t>
  </si>
  <si>
    <t>Thôn Bản Lạ</t>
  </si>
  <si>
    <t>Thôn Khuổi Luồm</t>
  </si>
  <si>
    <t>Thôn Loỏng Lứng</t>
  </si>
  <si>
    <t>Thôn Nà Giảo</t>
  </si>
  <si>
    <t>Thôn Nà Pài</t>
  </si>
  <si>
    <t>Thôn Nà Viến</t>
  </si>
  <si>
    <t>Thôn Phiêng Khăm</t>
  </si>
  <si>
    <t>Thôn Phiêng Phàng</t>
  </si>
  <si>
    <t>H. Bạch Thông</t>
  </si>
  <si>
    <t>TT. Phủ Thông</t>
  </si>
  <si>
    <t>Thôn Chi Quảng B</t>
  </si>
  <si>
    <t>Thôn Khuổi Chả</t>
  </si>
  <si>
    <t>Thôn Khuổi Chàm</t>
  </si>
  <si>
    <t>Thôn Khuổi Lừa</t>
  </si>
  <si>
    <t>Thôn Nà Phải</t>
  </si>
  <si>
    <t>Phố Chính</t>
  </si>
  <si>
    <t>Phố Đầu Cầu</t>
  </si>
  <si>
    <t>Phố Nà Hái</t>
  </si>
  <si>
    <t>Phố Ngã Ba</t>
  </si>
  <si>
    <t>Tổ dân phố Chiến Thắng</t>
  </si>
  <si>
    <t>Tổ dân phố Đèo Giàng</t>
  </si>
  <si>
    <t>X. Cẩm Giàng</t>
  </si>
  <si>
    <t>Thôn Ba Phường</t>
  </si>
  <si>
    <t>Thôn Bó Bả</t>
  </si>
  <si>
    <t>Thôn Đầu Cầu</t>
  </si>
  <si>
    <t>Thôn Khuổi Chanh</t>
  </si>
  <si>
    <t>Thôn Khuổi Dấm</t>
  </si>
  <si>
    <t>Thôn Nà Cù</t>
  </si>
  <si>
    <t>Thôn Nà Ngăm</t>
  </si>
  <si>
    <t>Thôn Nà Tu</t>
  </si>
  <si>
    <t>Thôn Nà Xỏm</t>
  </si>
  <si>
    <t>X. Cao Sơn</t>
  </si>
  <si>
    <t>Thôn Khau Cà</t>
  </si>
  <si>
    <t>Thôn Lủng Chuông</t>
  </si>
  <si>
    <t>Thôn Lủng Lỳ</t>
  </si>
  <si>
    <t>Thôn Thôm Khoan</t>
  </si>
  <si>
    <t>Thôn Thôm Phụ</t>
  </si>
  <si>
    <t>X. Đôn Phong</t>
  </si>
  <si>
    <t>Thôn Bản Chiêng</t>
  </si>
  <si>
    <t>Thôn Bản Đán</t>
  </si>
  <si>
    <t>Thôn Bản Vén</t>
  </si>
  <si>
    <t>Thôn Lủng Lầu</t>
  </si>
  <si>
    <t>Thôn Nà Đán</t>
  </si>
  <si>
    <t>Thôn Nà Lồm</t>
  </si>
  <si>
    <t>Thôn Nà Pán</t>
  </si>
  <si>
    <t>Thôn Nà Váng</t>
  </si>
  <si>
    <t>Thôn Nặm Tốc</t>
  </si>
  <si>
    <t>T-30</t>
  </si>
  <si>
    <t>Thôn Vằng Bó</t>
  </si>
  <si>
    <t>X. Dương Phong</t>
  </si>
  <si>
    <t>Thôn Bản Chàn</t>
  </si>
  <si>
    <t>Thôn Bản Mèn</t>
  </si>
  <si>
    <t>Thôn Bản Mún</t>
  </si>
  <si>
    <t>Thôn Bản Pè</t>
  </si>
  <si>
    <t>Thôn Khuổi Cò</t>
  </si>
  <si>
    <t>Thôn Nà Chèn</t>
  </si>
  <si>
    <t>Thôn Nà Cọong</t>
  </si>
  <si>
    <t>Thôn Tổng Mú</t>
  </si>
  <si>
    <t>Thôn Tổng Ngay</t>
  </si>
  <si>
    <t>X. Lục Bình</t>
  </si>
  <si>
    <t>Thôn Bắc Lanh Chang</t>
  </si>
  <si>
    <t>Thôn Cao Lộc</t>
  </si>
  <si>
    <t>Thôn Lủng Chang</t>
  </si>
  <si>
    <t>Thôn Nà Chuông</t>
  </si>
  <si>
    <t>Thôn Nà Nghịu</t>
  </si>
  <si>
    <t>Thôn Nam Lanh Chang</t>
  </si>
  <si>
    <t>Thôn Pác Chang</t>
  </si>
  <si>
    <t>X. Mỹ Thanh</t>
  </si>
  <si>
    <t>Thôn Bản Châng</t>
  </si>
  <si>
    <t>Thôn Bản Luông</t>
  </si>
  <si>
    <t>Thôn Cây Thị</t>
  </si>
  <si>
    <t>Thôn Khau Ca</t>
  </si>
  <si>
    <t>Thôn Phiêng Kham</t>
  </si>
  <si>
    <t>Thôn Thôm Ưng</t>
  </si>
  <si>
    <t>X. Nguyên Phúc</t>
  </si>
  <si>
    <t>Thôn Cáng Lò</t>
  </si>
  <si>
    <t>Thôn Khuổi Bốc</t>
  </si>
  <si>
    <t>X-25</t>
  </si>
  <si>
    <t>Thôn Nà Lốc</t>
  </si>
  <si>
    <t>Thôn Nà Muồng</t>
  </si>
  <si>
    <t>T-40</t>
  </si>
  <si>
    <t>Thôn Nà Rào</t>
  </si>
  <si>
    <t>Thôn Nam Yên</t>
  </si>
  <si>
    <t>Thôn Ngoàn</t>
  </si>
  <si>
    <t>Thôn Pác Thiên</t>
  </si>
  <si>
    <t>X-40</t>
  </si>
  <si>
    <t>Thôn Quăn</t>
  </si>
  <si>
    <t>X. Quân Hà</t>
  </si>
  <si>
    <t>Thôn Cốc Xả</t>
  </si>
  <si>
    <t>Thôn Đoàn Kết</t>
  </si>
  <si>
    <t>Thôn Khau Mạ</t>
  </si>
  <si>
    <t>Thôn Khuổi Thiêu</t>
  </si>
  <si>
    <t>Thôn Lủng Coóc</t>
  </si>
  <si>
    <t>Thôn Lủng Kén</t>
  </si>
  <si>
    <t>Thôn Nà Búng</t>
  </si>
  <si>
    <t>Thôn Nà lẹng</t>
  </si>
  <si>
    <t>Thôn Nà Liềng</t>
  </si>
  <si>
    <t>Thôn Nà Ngảng</t>
  </si>
  <si>
    <t>Thôn Nà Phả</t>
  </si>
  <si>
    <t>Thôn Nà Pò</t>
  </si>
  <si>
    <t>Thôn Thái Bình</t>
  </si>
  <si>
    <t>Thôn Thôm Mò</t>
  </si>
  <si>
    <t>X. Quang Thuận</t>
  </si>
  <si>
    <t>Thôn Boóc Khún</t>
  </si>
  <si>
    <t>Thôn Khuổi Piểu</t>
  </si>
  <si>
    <t>Thôn Nà Chạp</t>
  </si>
  <si>
    <t>Thôn Nà Đinh</t>
  </si>
  <si>
    <t>Thôn Nà Hin</t>
  </si>
  <si>
    <t>Thôn Nà Kha</t>
  </si>
  <si>
    <t>Thôn Nà Lẹng</t>
  </si>
  <si>
    <t>Thôn Nà Lìu</t>
  </si>
  <si>
    <t>Thôn Nà Thoi</t>
  </si>
  <si>
    <t>Thôn Phiêng An</t>
  </si>
  <si>
    <t>X. Sỹ Bình</t>
  </si>
  <si>
    <t>Thôn 1A</t>
  </si>
  <si>
    <t>Thôn 1B</t>
  </si>
  <si>
    <t>Thôn 2</t>
  </si>
  <si>
    <t>Thôn 3A Nà Cà</t>
  </si>
  <si>
    <t>Thôn 3B Nà Cà</t>
  </si>
  <si>
    <t>Thôn Khuổi Đẳng</t>
  </si>
  <si>
    <t>Thôn Lọ Cặp</t>
  </si>
  <si>
    <t>Thôn Nà Phja</t>
  </si>
  <si>
    <t>Thôn Phiêng Bủng</t>
  </si>
  <si>
    <t>Thôn Pù Cà</t>
  </si>
  <si>
    <t>X. Tân Tú</t>
  </si>
  <si>
    <t>Thôn Bản Lạnh</t>
  </si>
  <si>
    <t>Thôn Bình Môn</t>
  </si>
  <si>
    <t>Thôn Cốc Bây</t>
  </si>
  <si>
    <t>Thôn Khuổi Sla</t>
  </si>
  <si>
    <t>Thôn Nà Bản</t>
  </si>
  <si>
    <t>Thôn Nà Phát</t>
  </si>
  <si>
    <t>Thôn Nà Xe</t>
  </si>
  <si>
    <t>Thôn Quan Làng</t>
  </si>
  <si>
    <t>Thôn Quyết Thắng</t>
  </si>
  <si>
    <t>Thôn Tân Hoan</t>
  </si>
  <si>
    <t>X. Vi Hương</t>
  </si>
  <si>
    <t>Thôn Bó Lịn</t>
  </si>
  <si>
    <t>Thôn Cốc Thốc</t>
  </si>
  <si>
    <t>Thôn Địa Cát</t>
  </si>
  <si>
    <t>Thôn Đon Bây</t>
  </si>
  <si>
    <t>Thôn Nà Chá</t>
  </si>
  <si>
    <t>Thôn Nà Ít</t>
  </si>
  <si>
    <t>Thôn Nà Pái</t>
  </si>
  <si>
    <t>Thôn Nà Sang</t>
  </si>
  <si>
    <t>Thôn Thủy Điện</t>
  </si>
  <si>
    <t>X. Vũ Muộn</t>
  </si>
  <si>
    <t>Thôn Choóc Vẻn</t>
  </si>
  <si>
    <t>Thôn Còi Có</t>
  </si>
  <si>
    <t>Thôn Đâng Bun</t>
  </si>
  <si>
    <t>Thôn Đon Quản</t>
  </si>
  <si>
    <t>Thôn Khuổi Khoang</t>
  </si>
  <si>
    <t>Thôn Lủng Siên</t>
  </si>
  <si>
    <t>Thôn Nà Kén</t>
  </si>
  <si>
    <t>Thôn Nà Khoang</t>
  </si>
  <si>
    <t>Thôn Tân Lập</t>
  </si>
  <si>
    <t>Thôn Tốc Lù</t>
  </si>
  <si>
    <t>H. Chợ Đồn</t>
  </si>
  <si>
    <t>TT. Bằng Lũng</t>
  </si>
  <si>
    <t>Tổ dân phố số 1</t>
  </si>
  <si>
    <t>Tổ dân phố số 2A</t>
  </si>
  <si>
    <t>Tổ dân phố số 2B</t>
  </si>
  <si>
    <t>Tổ dân phố số 3</t>
  </si>
  <si>
    <t>Tổ dân phố số 4</t>
  </si>
  <si>
    <t>Tổ dân phố số 5</t>
  </si>
  <si>
    <t>Tổ dân phố số 6A</t>
  </si>
  <si>
    <t>Tổ dân phố số 6B</t>
  </si>
  <si>
    <t>Tổ dân phố số 7</t>
  </si>
  <si>
    <t>Tổ dân phố số 8</t>
  </si>
  <si>
    <t>Tổ dân phố số 9</t>
  </si>
  <si>
    <t>Tổ dân phố số 10</t>
  </si>
  <si>
    <t>Tổ dân phố số 11A</t>
  </si>
  <si>
    <t>Tổ dân phố số 11B</t>
  </si>
  <si>
    <t>Tổ dân phố số 12</t>
  </si>
  <si>
    <t>Tổ dân phố số 13</t>
  </si>
  <si>
    <t>Tổ dân phố số 14A</t>
  </si>
  <si>
    <t>Tổ dân phố số 14B</t>
  </si>
  <si>
    <t>Tổ dân phố số 15</t>
  </si>
  <si>
    <t>Tổ dân phố số 16</t>
  </si>
  <si>
    <t>Tổ dân phố số 17</t>
  </si>
  <si>
    <t>Tổ dân phố Bản Duồng 1</t>
  </si>
  <si>
    <t>Tổ dân phố Bản Duồng 2</t>
  </si>
  <si>
    <t>Tổ dân phố Bản Tàn</t>
  </si>
  <si>
    <t>Tổ dân phố Nà Pài</t>
  </si>
  <si>
    <t>X. Bản Thi</t>
  </si>
  <si>
    <t>Thôn Bản Nhài</t>
  </si>
  <si>
    <t>Thôn Bản Nhượng</t>
  </si>
  <si>
    <t>Thôn Hợp Tiến</t>
  </si>
  <si>
    <t>X-110</t>
  </si>
  <si>
    <t>Thôn Kéo Nàng</t>
  </si>
  <si>
    <t>Thôn Khuổi Kẹn</t>
  </si>
  <si>
    <t>Thôn Phiêng Lằm</t>
  </si>
  <si>
    <t>Thôn Thâm Tàu</t>
  </si>
  <si>
    <t>X. Bằng Lãng</t>
  </si>
  <si>
    <t>Thôn Bản Cưa</t>
  </si>
  <si>
    <t>Thôn Bản Lắc</t>
  </si>
  <si>
    <t>Thôn Bản Nhì</t>
  </si>
  <si>
    <t>Thôn Khuổi Tặc</t>
  </si>
  <si>
    <t>Thôn Nà Duồng</t>
  </si>
  <si>
    <t>Thôn Nà Khắt</t>
  </si>
  <si>
    <t>Thôn Nà Loọc</t>
  </si>
  <si>
    <t>Thôn Nà Niếng</t>
  </si>
  <si>
    <t>Thôn Tổng Mụ</t>
  </si>
  <si>
    <t>Thôn Tủm Tó</t>
  </si>
  <si>
    <t>X. Bằng Phúc</t>
  </si>
  <si>
    <t>Thôn Bản Chang</t>
  </si>
  <si>
    <t>Thôn Bản Khiếu</t>
  </si>
  <si>
    <t>Thôn Bản Quân</t>
  </si>
  <si>
    <t>Thôn Khuổi Cưởm</t>
  </si>
  <si>
    <t>Thôn Nà Bay</t>
  </si>
  <si>
    <t>Thôn Nà Hồng</t>
  </si>
  <si>
    <t>Thôn Phiêng Phung</t>
  </si>
  <si>
    <t>X. Bình Trung</t>
  </si>
  <si>
    <t>Thôn Bản Ca</t>
  </si>
  <si>
    <t>Thôn Bản Điếng</t>
  </si>
  <si>
    <t>Thôn Bản Pèo</t>
  </si>
  <si>
    <t>Thôn Bản Tuốm</t>
  </si>
  <si>
    <t>Thôn Đon Liên</t>
  </si>
  <si>
    <t>Thôn Khuổi Áng</t>
  </si>
  <si>
    <t>Thôn Khuổi Đẩy</t>
  </si>
  <si>
    <t>Thôn Nà Oóc</t>
  </si>
  <si>
    <t>Thôn Nà Quân</t>
  </si>
  <si>
    <t>Thôn Pác Nghiên</t>
  </si>
  <si>
    <t>Thôn Pác Pạu</t>
  </si>
  <si>
    <t>Thôn Tông Quận</t>
  </si>
  <si>
    <t>Thôn Vằng Doọc</t>
  </si>
  <si>
    <t>Thôn Vằng Quân</t>
  </si>
  <si>
    <t>X. Đại Sảo</t>
  </si>
  <si>
    <t>Thôn Bản Loon</t>
  </si>
  <si>
    <t>Thôn Bản Sáo</t>
  </si>
  <si>
    <t>Thôn Nà Khảo</t>
  </si>
  <si>
    <t>Thôn Nà Lại</t>
  </si>
  <si>
    <t>Thôn Nà Luông</t>
  </si>
  <si>
    <t>Thôn Nà Ngà</t>
  </si>
  <si>
    <t>Thôn Trung Tâm</t>
  </si>
  <si>
    <t>X. Đồng Lạc</t>
  </si>
  <si>
    <t>Thôn Bản Tràng</t>
  </si>
  <si>
    <t>Thôn Nà Áng</t>
  </si>
  <si>
    <t>Thôn Nà Dầu</t>
  </si>
  <si>
    <t>X-130</t>
  </si>
  <si>
    <t>Thôn Nà Ón</t>
  </si>
  <si>
    <t>Thôn Nà Pha</t>
  </si>
  <si>
    <t>Thôn Thôm Phả</t>
  </si>
  <si>
    <t>X. Đồng Thắng</t>
  </si>
  <si>
    <t>Thôn Bản Cáu</t>
  </si>
  <si>
    <t>Thôn Bản Chói</t>
  </si>
  <si>
    <t>Thôn Bản Hun</t>
  </si>
  <si>
    <t>Thôn Cốc Héc</t>
  </si>
  <si>
    <t>Thôn Cốc Quang</t>
  </si>
  <si>
    <t>Thôn Kéo Hấy</t>
  </si>
  <si>
    <t>Thôn Khau Chủ</t>
  </si>
  <si>
    <t>Thôn Khuổi Giả</t>
  </si>
  <si>
    <t>Thôn Khuổi Nhang</t>
  </si>
  <si>
    <t>Thôn Làng Sen</t>
  </si>
  <si>
    <t>Thôn Nà Chang</t>
  </si>
  <si>
    <t>Thôn Nà Kham</t>
  </si>
  <si>
    <t>Thôn Nà Lào</t>
  </si>
  <si>
    <t>Thôn Nà Pèng</t>
  </si>
  <si>
    <t>Thôn Nà Phung</t>
  </si>
  <si>
    <t>Thôn Nà Tải</t>
  </si>
  <si>
    <t>Thôn Nà Vằn</t>
  </si>
  <si>
    <t>Thôn Pác Giả</t>
  </si>
  <si>
    <t>X. Lương Bằng</t>
  </si>
  <si>
    <t>Thôn Bản Diếu</t>
  </si>
  <si>
    <t>Thôn Bản Đó</t>
  </si>
  <si>
    <t>Thôn Bản Mòn</t>
  </si>
  <si>
    <t>Thôn Bản Quằng</t>
  </si>
  <si>
    <t>Thôn Bản Vèn</t>
  </si>
  <si>
    <t>Thôn Búc Duộng</t>
  </si>
  <si>
    <t>Thôn Khôn Hên</t>
  </si>
  <si>
    <t>Thôn Nà Bưa</t>
  </si>
  <si>
    <t>Thôn Nà Chiếm</t>
  </si>
  <si>
    <t>Thôn Nà Lếch</t>
  </si>
  <si>
    <t>Thôn Nà Lùng</t>
  </si>
  <si>
    <t>Thôn Nà Mương</t>
  </si>
  <si>
    <t>Thôn Nà Tẳng</t>
  </si>
  <si>
    <t>Thôn Tham Thẩu</t>
  </si>
  <si>
    <t>X. Nam Cường</t>
  </si>
  <si>
    <t>Thôn Bản Chảy</t>
  </si>
  <si>
    <t>Thôn Bản Lồm</t>
  </si>
  <si>
    <t>Thôn Bản Quá</t>
  </si>
  <si>
    <t>Thôn Cọn Poỏng</t>
  </si>
  <si>
    <t>Thôn Lũng Noong</t>
  </si>
  <si>
    <t>Thôn Nà Liền</t>
  </si>
  <si>
    <t>Thôn Phiêng Cà</t>
  </si>
  <si>
    <t>X. Nghĩa Tá</t>
  </si>
  <si>
    <t>Thôn Bản Bẳng</t>
  </si>
  <si>
    <t>Thôn Bản Lạp</t>
  </si>
  <si>
    <t>Thôn Kéo Tôm</t>
  </si>
  <si>
    <t>Thôn Nà Đẩy</t>
  </si>
  <si>
    <t>Thôn Nà Đeng</t>
  </si>
  <si>
    <t>Thôn Nà Khằn</t>
  </si>
  <si>
    <t>Thôn Nà Kiến</t>
  </si>
  <si>
    <t>Thôn Nà Tông</t>
  </si>
  <si>
    <t>X. Ngọc Phái</t>
  </si>
  <si>
    <t>Thôn Bản Cuôn 1</t>
  </si>
  <si>
    <t>Thôn Bản Cuôn 2</t>
  </si>
  <si>
    <t>Thôn Bản Ỏm</t>
  </si>
  <si>
    <t>Thôn Cốc Thử</t>
  </si>
  <si>
    <t>Thôn Nà Tùm</t>
  </si>
  <si>
    <t>Thôn Phiêng Liềng</t>
  </si>
  <si>
    <t>X. Phương Viên</t>
  </si>
  <si>
    <t>Thôn Bản Làn</t>
  </si>
  <si>
    <t>Thôn Bản Lanh</t>
  </si>
  <si>
    <t>Thôn Bằng Viễn 1</t>
  </si>
  <si>
    <t>Thôn Bằng Viễn 2</t>
  </si>
  <si>
    <t>Thôn Choong</t>
  </si>
  <si>
    <t>Thôn Nà Càng</t>
  </si>
  <si>
    <t>X. Quảng Bạch</t>
  </si>
  <si>
    <t>Thôn Bản Duồn</t>
  </si>
  <si>
    <t>Thôn Bản Khắt</t>
  </si>
  <si>
    <t>Thôn Bản Lác</t>
  </si>
  <si>
    <t>Thôn Bản Mạ</t>
  </si>
  <si>
    <t>Thôn Bó Pia</t>
  </si>
  <si>
    <t>Thôn Khuổi Đăm</t>
  </si>
  <si>
    <t>Thôn Khuổi Vùa</t>
  </si>
  <si>
    <t>X. Tân Lập</t>
  </si>
  <si>
    <t>Thôn Nà Chắc</t>
  </si>
  <si>
    <t>Thôn Nà Lịn</t>
  </si>
  <si>
    <t>Thôn Nà Lược</t>
  </si>
  <si>
    <t>Thôn Nà Ngần</t>
  </si>
  <si>
    <t>Thôn Nà Sắm</t>
  </si>
  <si>
    <t>Thôn Phai Điểng</t>
  </si>
  <si>
    <t>Thôn Phiêng Đén</t>
  </si>
  <si>
    <t>X. Xuân Lạc</t>
  </si>
  <si>
    <t>Thôn Bản Eng</t>
  </si>
  <si>
    <t>Thôn Bản He</t>
  </si>
  <si>
    <t>Thôn Bản Hỏ</t>
  </si>
  <si>
    <t>Thôn Bản Khang</t>
  </si>
  <si>
    <t>Thôn Bản Ó</t>
  </si>
  <si>
    <t>Thôn Bản Puổng</t>
  </si>
  <si>
    <t>Thôn Bản Tưn</t>
  </si>
  <si>
    <t>Thôn Cốc Slông</t>
  </si>
  <si>
    <t>Thôn Khuổi Sáp</t>
  </si>
  <si>
    <t>Thôn Nà Dạ</t>
  </si>
  <si>
    <t>Thôn Pù Lùng 1</t>
  </si>
  <si>
    <t>Thôn Pù Lùng 2</t>
  </si>
  <si>
    <t>Thôn Tà Han</t>
  </si>
  <si>
    <t>X. Yên Mỹ</t>
  </si>
  <si>
    <t>Thôn Bản Lự</t>
  </si>
  <si>
    <t>Thôn Bản Vọng</t>
  </si>
  <si>
    <t>Thôn Khuổi Tạo</t>
  </si>
  <si>
    <t>Thôn Nà Giỏ</t>
  </si>
  <si>
    <t>Thôn Pác Khoang</t>
  </si>
  <si>
    <t>Thôn Phiêng Dìa</t>
  </si>
  <si>
    <t>Thôn Ủm Đon</t>
  </si>
  <si>
    <t>X. Yên Phong</t>
  </si>
  <si>
    <t>Thôn Bản Lẹng</t>
  </si>
  <si>
    <t>X-34</t>
  </si>
  <si>
    <t>Thôn Bản Noỏng</t>
  </si>
  <si>
    <t>X-66</t>
  </si>
  <si>
    <t>Thôn Bản Quăng</t>
  </si>
  <si>
    <t>Thôn Bản Tắm</t>
  </si>
  <si>
    <t>Thôn Đon Mạ</t>
  </si>
  <si>
    <t>Thôn Khau Toọc</t>
  </si>
  <si>
    <t>Thôn Khuân Toong</t>
  </si>
  <si>
    <t>Thôn Khuổi Xỏm</t>
  </si>
  <si>
    <t>Thôn Nà Chợ</t>
  </si>
  <si>
    <t>Thôn Nà Mạng</t>
  </si>
  <si>
    <t>Thôn Nà Tấc</t>
  </si>
  <si>
    <t>Thôn Pác Cộp</t>
  </si>
  <si>
    <t>Thôn Pác Đá</t>
  </si>
  <si>
    <t>Thôn Pác Là</t>
  </si>
  <si>
    <t>Thôn Pác Toong</t>
  </si>
  <si>
    <t>Thôn Phiêng Quắc</t>
  </si>
  <si>
    <t>X. Yên Thịnh</t>
  </si>
  <si>
    <t>Thôn Bản Cậu</t>
  </si>
  <si>
    <t>Thôn Bản Đồn</t>
  </si>
  <si>
    <t>Thôn Bản Loàn</t>
  </si>
  <si>
    <t>Thôn Bản Vay</t>
  </si>
  <si>
    <t>Thôn Bó Pết</t>
  </si>
  <si>
    <t>Thôn Khuổi Lịa</t>
  </si>
  <si>
    <t>Thôn Nà Pját</t>
  </si>
  <si>
    <t>Thôn Pác Cuồng</t>
  </si>
  <si>
    <t>Thôn Phố Cậu</t>
  </si>
  <si>
    <t>X. Yên Thượng</t>
  </si>
  <si>
    <t>Thôn Bản Bây</t>
  </si>
  <si>
    <t>Thôn Bản Liên</t>
  </si>
  <si>
    <t>Thôn Che Ngù</t>
  </si>
  <si>
    <t>Thôn Nà Huống</t>
  </si>
  <si>
    <t>Thôn Nà Khuốt</t>
  </si>
  <si>
    <t>Thôn Nà Mền</t>
  </si>
  <si>
    <t>Thôn Nà Mòn</t>
  </si>
  <si>
    <t>Thôn Nà Nhàm</t>
  </si>
  <si>
    <t>IV</t>
  </si>
  <si>
    <t>H. Chợ Mới</t>
  </si>
  <si>
    <t>TT. Đồng Tâm</t>
  </si>
  <si>
    <t>Tổ dân phố số 2</t>
  </si>
  <si>
    <t>Tổ dân phố số 6</t>
  </si>
  <si>
    <t>NQ97-ĐT</t>
  </si>
  <si>
    <t>Tổ dân phố số 11</t>
  </si>
  <si>
    <t>X. Bình Văn</t>
  </si>
  <si>
    <t>Thôn Đon Cọt</t>
  </si>
  <si>
    <t>Thôn Khuôn Tắng</t>
  </si>
  <si>
    <t>Thôn Nà Mố</t>
  </si>
  <si>
    <t>Thôn Tài Chang</t>
  </si>
  <si>
    <t>Thôn Thôm Bó</t>
  </si>
  <si>
    <t>Thôn Thôm Thoi</t>
  </si>
  <si>
    <t>X. Cao Kỳ</t>
  </si>
  <si>
    <t>Thôn Bản Phố</t>
  </si>
  <si>
    <t>Thôn Chộc Toòng</t>
  </si>
  <si>
    <t>Thôn Công Tum</t>
  </si>
  <si>
    <t>Thôn Hành Khiến</t>
  </si>
  <si>
    <t>Thôn Hua Phai</t>
  </si>
  <si>
    <t>Thôn Khau Lồm</t>
  </si>
  <si>
    <t>Thôn Nà Cà I</t>
  </si>
  <si>
    <t>Thôn Nà Cà II</t>
  </si>
  <si>
    <t>Thôn Nà Nguộc</t>
  </si>
  <si>
    <t>Thôn Phiêng Câm</t>
  </si>
  <si>
    <t>Thôn Tân Minh</t>
  </si>
  <si>
    <t>Thôn Tổng Sâu</t>
  </si>
  <si>
    <t>Thôn Tổng Tàng</t>
  </si>
  <si>
    <t>X. Hòa Mục</t>
  </si>
  <si>
    <t>Thôn Bản Giác</t>
  </si>
  <si>
    <t>Thôn Bản Vọt</t>
  </si>
  <si>
    <t>Thôn Khuổi Nhàng</t>
  </si>
  <si>
    <t>Thôn Mỏ Khang</t>
  </si>
  <si>
    <t>Thôn Nà Tôm</t>
  </si>
  <si>
    <t>Thôn Tân Khang</t>
  </si>
  <si>
    <t>X. Mai Lạp</t>
  </si>
  <si>
    <t>Thôn Bản Pá</t>
  </si>
  <si>
    <t>Thôn Bản Rả</t>
  </si>
  <si>
    <t>X-100 (đangXD)</t>
  </si>
  <si>
    <t>Thôn Bản Ruộc</t>
  </si>
  <si>
    <t>Thôn Khau Ràng</t>
  </si>
  <si>
    <t>Thôn Khau Tổng</t>
  </si>
  <si>
    <t>X. Như Cố</t>
  </si>
  <si>
    <t>Thôn Bản Cầy</t>
  </si>
  <si>
    <t>Thôn Bản Nưa</t>
  </si>
  <si>
    <t>Thôn Bản Quất</t>
  </si>
  <si>
    <t>Thôn Khuân Bang</t>
  </si>
  <si>
    <t>Thôn Khuân Tèng</t>
  </si>
  <si>
    <t>Thôn Khuổi Chủ</t>
  </si>
  <si>
    <t>Thôn Khuổi Hóp</t>
  </si>
  <si>
    <t>Thôn Nà Chào</t>
  </si>
  <si>
    <t>Thôn Nà Luống</t>
  </si>
  <si>
    <t>Thôn Nà Roòng</t>
  </si>
  <si>
    <t>Thôn Nà Tào</t>
  </si>
  <si>
    <t>X. Nông Hạ</t>
  </si>
  <si>
    <t>Thôn Bản Tết 1</t>
  </si>
  <si>
    <t>Thôn Bản Tết 2</t>
  </si>
  <si>
    <t>Thôn Cao Thanh</t>
  </si>
  <si>
    <t>Thôn Khe Thỉ 1</t>
  </si>
  <si>
    <t>Thôn Khe Thỉ 2</t>
  </si>
  <si>
    <t>Thôn Khe Thuổng</t>
  </si>
  <si>
    <t>Thôn Ná Bia</t>
  </si>
  <si>
    <t>Thôn Nà Cắn</t>
  </si>
  <si>
    <t>Thôn Nà Mẩy</t>
  </si>
  <si>
    <t>Thôn Reo Dài</t>
  </si>
  <si>
    <t>Thôn Sáu Hai</t>
  </si>
  <si>
    <t>Thôn Xí Nghiệp</t>
  </si>
  <si>
    <t>X. Quảng Chu</t>
  </si>
  <si>
    <t>Thôn Bản Đén 1</t>
  </si>
  <si>
    <t>Thôn Bản Đén 2</t>
  </si>
  <si>
    <t>Thôn Bản Nhuần 1</t>
  </si>
  <si>
    <t>Thôn Bản Nhuần 2</t>
  </si>
  <si>
    <t>Thôn Con Kiến</t>
  </si>
  <si>
    <t>Thôn Cửa Khe</t>
  </si>
  <si>
    <t>Thôn Đèo Vai 1</t>
  </si>
  <si>
    <t>Thôn Đèo Vai 2</t>
  </si>
  <si>
    <t>Thôn Đồng Luông</t>
  </si>
  <si>
    <t>Thôn Làng Chẽ</t>
  </si>
  <si>
    <t>Thôn Làng Điền</t>
  </si>
  <si>
    <t>Thôn Nà Choọng</t>
  </si>
  <si>
    <t>Thôn Nà Lằng</t>
  </si>
  <si>
    <t>X. Tân Sơn</t>
  </si>
  <si>
    <t>Thôn Bản Lù</t>
  </si>
  <si>
    <t>Thôn Khuổi Đeng 1</t>
  </si>
  <si>
    <t>Thôn Khuổi Đeng 2</t>
  </si>
  <si>
    <t>Thôn Nà Khu</t>
  </si>
  <si>
    <t>Thôn Nặm Dất</t>
  </si>
  <si>
    <t>Thôn Phya Rả</t>
  </si>
  <si>
    <t>X. Thanh Mai</t>
  </si>
  <si>
    <t>Thôn Bản Kéo</t>
  </si>
  <si>
    <t>Thôn Bản Phát</t>
  </si>
  <si>
    <t>Thôn Bản Pjải</t>
  </si>
  <si>
    <t>Thôn Bản Tý</t>
  </si>
  <si>
    <t>Thôn Khuổi Dạc</t>
  </si>
  <si>
    <t>Thôn Khuổi Phấy</t>
  </si>
  <si>
    <t>Thôn Khuổi Rẹt</t>
  </si>
  <si>
    <t>Thôn Nà Pẻn</t>
  </si>
  <si>
    <t>Thôn Nà Vàu</t>
  </si>
  <si>
    <t>Thôn Phiêng Luông</t>
  </si>
  <si>
    <t>Thôn Roỏng Tùm</t>
  </si>
  <si>
    <t>X. Thanh Thịnh</t>
  </si>
  <si>
    <t>Thôn Bản Áng</t>
  </si>
  <si>
    <t>Thôn Bản Chàng</t>
  </si>
  <si>
    <t>Thôn Bản Còn</t>
  </si>
  <si>
    <t>Thôn Cạm Lẹng</t>
  </si>
  <si>
    <t>Thôn Cốc Po</t>
  </si>
  <si>
    <t>Thôn Hợp Nhất</t>
  </si>
  <si>
    <t>Thôn Khe Lắc</t>
  </si>
  <si>
    <t>Thôn Khuổi Lót</t>
  </si>
  <si>
    <t>Thôn Khuổi Nhầu</t>
  </si>
  <si>
    <t>Thôn Khuổi Tai</t>
  </si>
  <si>
    <t>Thôn Nà Chiêm</t>
  </si>
  <si>
    <t>Thôn Nà Đeo</t>
  </si>
  <si>
    <t>Thôn Nà Nâm</t>
  </si>
  <si>
    <t>Thôn Nà Ngài</t>
  </si>
  <si>
    <t>Thôn Nà Ó</t>
  </si>
  <si>
    <t>X. Thanh Vận</t>
  </si>
  <si>
    <t>Thôn An Thọ</t>
  </si>
  <si>
    <t>Thôn Chúa Lải</t>
  </si>
  <si>
    <t>Thôn Nà Đon</t>
  </si>
  <si>
    <t>Thôn Nà Rẫy</t>
  </si>
  <si>
    <t>Thôn Phiêng Khảo</t>
  </si>
  <si>
    <t>X. Yên Cư</t>
  </si>
  <si>
    <t>Thôn Bản Chằng</t>
  </si>
  <si>
    <t>Thôn Bản Cháo</t>
  </si>
  <si>
    <t>Thôn Bản Rịa</t>
  </si>
  <si>
    <t>Thôn Bản Tám</t>
  </si>
  <si>
    <t>Thôn Đon Nhậu</t>
  </si>
  <si>
    <t>Thôn Đon Quy</t>
  </si>
  <si>
    <t>Thôn Khuổi Thây</t>
  </si>
  <si>
    <t>Thôn Nà Hoáng</t>
  </si>
  <si>
    <t>Thôn Nà Hoạt</t>
  </si>
  <si>
    <t>Thôn Nà Lìn</t>
  </si>
  <si>
    <t>Thôn Nà Pạn</t>
  </si>
  <si>
    <t>Thôn Nà Riền</t>
  </si>
  <si>
    <t>Thôn Nặm Lìn</t>
  </si>
  <si>
    <t>Thôn Phiêng Dường</t>
  </si>
  <si>
    <t>Thôn Phiêng Lầu</t>
  </si>
  <si>
    <t>Thôn Thái Lạo</t>
  </si>
  <si>
    <t>X. Yên Hân</t>
  </si>
  <si>
    <t>Thôn Bản Mộc</t>
  </si>
  <si>
    <t>Thôn Chợ Tinh 1</t>
  </si>
  <si>
    <t>Thôn Chợ Tinh 2</t>
  </si>
  <si>
    <t>Thôn Nà Giáo</t>
  </si>
  <si>
    <t>Thôn Nà Sao</t>
  </si>
  <si>
    <t>Thôn Tát Vạ - Đán Đeng</t>
  </si>
  <si>
    <t>Thôn Thôm Chầu</t>
  </si>
  <si>
    <t>Thôn Trà Lấu</t>
  </si>
  <si>
    <t>H. Na Rì</t>
  </si>
  <si>
    <t>TT. Yến Lạc</t>
  </si>
  <si>
    <t>Thôn Đồn Tắm</t>
  </si>
  <si>
    <t>Thôn Khuổi Nằn 1</t>
  </si>
  <si>
    <t>Thôn Khuổi Nằn 2</t>
  </si>
  <si>
    <t>X-73</t>
  </si>
  <si>
    <t>Thôn Pò Đồn</t>
  </si>
  <si>
    <t>Tổ nhân dân Bản Bia</t>
  </si>
  <si>
    <t>Tổ nhân dân Bản Pò</t>
  </si>
  <si>
    <t>X-52</t>
  </si>
  <si>
    <t>Tổ nhân dân Cốc Coóc</t>
  </si>
  <si>
    <t>Tổ nhân dân Giả Dìa</t>
  </si>
  <si>
    <t>X-200</t>
  </si>
  <si>
    <t>Tổ nhân dân Hát Deng</t>
  </si>
  <si>
    <t>Tổ nhân dân Nà Đăng</t>
  </si>
  <si>
    <t>Tổ nhân dân Pàn Bái</t>
  </si>
  <si>
    <t>X-64</t>
  </si>
  <si>
    <t>Tổ nhân dân Pàn Chầu</t>
  </si>
  <si>
    <t>Tổ nhân dân Phiêng Chang</t>
  </si>
  <si>
    <t>Tổ nhân dân Phố A</t>
  </si>
  <si>
    <t>Tổ nhân dân Phố B</t>
  </si>
  <si>
    <t>X-62</t>
  </si>
  <si>
    <t>Tổ nhân dân Phố Mới</t>
  </si>
  <si>
    <t>Tổ nhân dân Pò Đon</t>
  </si>
  <si>
    <t>X. Côn Minh</t>
  </si>
  <si>
    <t>Thôn Áng Hin</t>
  </si>
  <si>
    <t>Thôn Bản Cào</t>
  </si>
  <si>
    <t>Thôn Bản Cuôn</t>
  </si>
  <si>
    <t>Thôn Chè Cọ</t>
  </si>
  <si>
    <t>Thôn Chợ A</t>
  </si>
  <si>
    <t>Thôn Chợ B</t>
  </si>
  <si>
    <t>Thôn Lùng Pảng</t>
  </si>
  <si>
    <t>Thôn Lùng Vai</t>
  </si>
  <si>
    <t>Thôn Lùng Vạng</t>
  </si>
  <si>
    <t>Thôn Nà Cằm</t>
  </si>
  <si>
    <t>Thôn Nà Ngoàn</t>
  </si>
  <si>
    <t>Thôn Nà Thoả</t>
  </si>
  <si>
    <t>X. Cư Lễ</t>
  </si>
  <si>
    <t>Thôn Bản Pò</t>
  </si>
  <si>
    <t>Thôn Cạm Mjầu</t>
  </si>
  <si>
    <t>X-35</t>
  </si>
  <si>
    <t>Thôn Kéo Đeng</t>
  </si>
  <si>
    <t>Thôn Khau An</t>
  </si>
  <si>
    <t>Thôn Khau Ngoà</t>
  </si>
  <si>
    <t>Thôn Khau Pần</t>
  </si>
  <si>
    <t>Thôn Khuổi Quân</t>
  </si>
  <si>
    <t>Thôn Pác Phàn</t>
  </si>
  <si>
    <t>Thôn Pò Pái</t>
  </si>
  <si>
    <t>Thôn Pò Rỳ</t>
  </si>
  <si>
    <t>Thôn Sắc Sái</t>
  </si>
  <si>
    <t>X. Cường Lợi</t>
  </si>
  <si>
    <t>Thôn Nà Sla</t>
  </si>
  <si>
    <t>Thôn Nà Chè</t>
  </si>
  <si>
    <t>Thôn Nà Khưa</t>
  </si>
  <si>
    <t>Thôn Nà Khun</t>
  </si>
  <si>
    <t>Thôn Nà Nưa</t>
  </si>
  <si>
    <t>Thôn Nà Tát</t>
  </si>
  <si>
    <t>Thôn Nặm Dắm</t>
  </si>
  <si>
    <t>Thôn Pò Nim</t>
  </si>
  <si>
    <t>X. Đổng Xá</t>
  </si>
  <si>
    <t>Thôn Chợ</t>
  </si>
  <si>
    <t>Thôn Chợ Chùa</t>
  </si>
  <si>
    <t>Thôn Kẹn Cò</t>
  </si>
  <si>
    <t>Thôn Khuổi Cáy</t>
  </si>
  <si>
    <t>Thôn Khuổi Nà</t>
  </si>
  <si>
    <t>Thôn Khuổi Nạc</t>
  </si>
  <si>
    <t>Thôn Lũng Tao</t>
  </si>
  <si>
    <t>Thôn Nà Khanh</t>
  </si>
  <si>
    <t>Thôn Nà Quản</t>
  </si>
  <si>
    <t>Thôn Nà Thác</t>
  </si>
  <si>
    <t>Thôn Nà Vạng</t>
  </si>
  <si>
    <t>Thôn Nặm Giàng</t>
  </si>
  <si>
    <t>X. Dương Sơn</t>
  </si>
  <si>
    <t>Thôn Khung Xa</t>
  </si>
  <si>
    <t>X-54</t>
  </si>
  <si>
    <t>Thôn Khuổi Chang</t>
  </si>
  <si>
    <t>Thôn Khuổi Kheo</t>
  </si>
  <si>
    <t>Thôn Khuổi Sluôn</t>
  </si>
  <si>
    <t>Thôn Nà Giàng</t>
  </si>
  <si>
    <t>Thôn Nà Giàu</t>
  </si>
  <si>
    <t>Thôn Nà Khoa</t>
  </si>
  <si>
    <t>Thôn Nà Mình</t>
  </si>
  <si>
    <t>Thôn Nà Nen</t>
  </si>
  <si>
    <t>Thôn Nà Phai</t>
  </si>
  <si>
    <t>X-42</t>
  </si>
  <si>
    <t>Thôn Rầy Ỏi</t>
  </si>
  <si>
    <t>X. Kim Hỷ</t>
  </si>
  <si>
    <t>Thôn Bản Kẹ</t>
  </si>
  <si>
    <t>Thôn Bản Vin</t>
  </si>
  <si>
    <t>Thôn Cốc Tém</t>
  </si>
  <si>
    <t>Thôn Khuổi Phầy</t>
  </si>
  <si>
    <t>Thôn Kim Vân</t>
  </si>
  <si>
    <t>Thôn Lũng Cậu</t>
  </si>
  <si>
    <t>Thôn Nà Ản</t>
  </si>
  <si>
    <t>Thôn Nà Lác</t>
  </si>
  <si>
    <t>Thôn Nà Mỏ</t>
  </si>
  <si>
    <t>X. Kim Lư</t>
  </si>
  <si>
    <t>Thôn Bản Cháng</t>
  </si>
  <si>
    <t>Thôn Bản Đâng</t>
  </si>
  <si>
    <t>Thôn Đồng Tâm</t>
  </si>
  <si>
    <t>X-55</t>
  </si>
  <si>
    <t>Thôn Háng Cáu</t>
  </si>
  <si>
    <t>Thôn Hát Luông</t>
  </si>
  <si>
    <t>Thôn Khum Mằn</t>
  </si>
  <si>
    <t>Thôn Khuổi Ít</t>
  </si>
  <si>
    <t>Thôn Lũng Cào</t>
  </si>
  <si>
    <t>Thôn Phiêng Đốc</t>
  </si>
  <si>
    <t>Thôn Pò Khiển</t>
  </si>
  <si>
    <t>X. Liêm Thủy</t>
  </si>
  <si>
    <t>Thôn Khuổi Tấy A</t>
  </si>
  <si>
    <t>Thôn Khuổi Tấy B</t>
  </si>
  <si>
    <t>Thôn Lũng Danh</t>
  </si>
  <si>
    <t>Thôn Nà Bó</t>
  </si>
  <si>
    <t>Thôn Nà Pì</t>
  </si>
  <si>
    <t>X. Lương Thượng</t>
  </si>
  <si>
    <t>Thôn Bản Giang</t>
  </si>
  <si>
    <t>Thôn Khuổi Nộc</t>
  </si>
  <si>
    <t>Thôn Pàn Xả</t>
  </si>
  <si>
    <t>Thôn Vằng Khít</t>
  </si>
  <si>
    <t>X. Quang Phong</t>
  </si>
  <si>
    <t>Thôn Khuổi Can</t>
  </si>
  <si>
    <t>Thôn Khuổi Căng</t>
  </si>
  <si>
    <t>Thôn Nà Buốc</t>
  </si>
  <si>
    <t>Thôn Nà Rầy</t>
  </si>
  <si>
    <t>Thôn Nà Tha</t>
  </si>
  <si>
    <t>Thôn Nà Vả</t>
  </si>
  <si>
    <t>Thôn Tham Không</t>
  </si>
  <si>
    <t>X. Sơn Thành</t>
  </si>
  <si>
    <t>Thôn Hát Lài</t>
  </si>
  <si>
    <t>Thôn Hợp Thành</t>
  </si>
  <si>
    <t>Thôn Khuổi Kháp</t>
  </si>
  <si>
    <t>Thôn Nà Kèn</t>
  </si>
  <si>
    <t>Thôn Nà Khon</t>
  </si>
  <si>
    <t>Thôn Nà Nôm</t>
  </si>
  <si>
    <t>Thôn Nà Pàn</t>
  </si>
  <si>
    <t>Thôn Pác Cáp</t>
  </si>
  <si>
    <t>Thôn Pan Khe</t>
  </si>
  <si>
    <t>Thôn Phiêng Cuôn</t>
  </si>
  <si>
    <t>Thôn Pò Chẹt</t>
  </si>
  <si>
    <t>Thôn Soi Cải</t>
  </si>
  <si>
    <t>Thôn Thanh Sơn</t>
  </si>
  <si>
    <t>Thôn Thôm Pục</t>
  </si>
  <si>
    <t>Thôn Xưởng Cưa</t>
  </si>
  <si>
    <t>X. Trần Phú</t>
  </si>
  <si>
    <t>X - 50</t>
  </si>
  <si>
    <t>Thôn Cung Năm</t>
  </si>
  <si>
    <t>Thôn Khau Moóc</t>
  </si>
  <si>
    <t>Thôn Khu Chợ</t>
  </si>
  <si>
    <t>Thôn Khuổi A</t>
  </si>
  <si>
    <t>Thôn Khuổi Khiếu</t>
  </si>
  <si>
    <t>Thôn Khuổi Mý</t>
  </si>
  <si>
    <t>Thôn Nà Chót</t>
  </si>
  <si>
    <t>Thôn Nà Coóc</t>
  </si>
  <si>
    <t>Thôn Nà Coòng</t>
  </si>
  <si>
    <t>Thôn Nà Đấu</t>
  </si>
  <si>
    <t>Thôn Nà Mển</t>
  </si>
  <si>
    <t>Thôn Nà Mới</t>
  </si>
  <si>
    <t>Thôn Nà Noong</t>
  </si>
  <si>
    <t>Thôn Nà Sát</t>
  </si>
  <si>
    <t>Thôn Nà Tảng</t>
  </si>
  <si>
    <t>Thôn Nà Vèn</t>
  </si>
  <si>
    <t>Thôn Pá Phấy</t>
  </si>
  <si>
    <t>Thôn Phiêng Pựt</t>
  </si>
  <si>
    <t>Thôn Vằng Mười</t>
  </si>
  <si>
    <t>X. Văn Lang</t>
  </si>
  <si>
    <t>Thôn Bản Kén</t>
  </si>
  <si>
    <t>Thôn Bản Sảng</t>
  </si>
  <si>
    <t>Thôn Chợ Cũ</t>
  </si>
  <si>
    <t>Thôn Chợ Mới</t>
  </si>
  <si>
    <t>Thôn Cốc Phia</t>
  </si>
  <si>
    <t>Không có NVH sử dụng HT UBND Ân Tình cũ</t>
  </si>
  <si>
    <t>Thôn Khau Lạ</t>
  </si>
  <si>
    <t>Thôn Nà Diệc</t>
  </si>
  <si>
    <t>Thôn Nà Dường</t>
  </si>
  <si>
    <t>Thôn Nà Hiu</t>
  </si>
  <si>
    <t>Thôn Nặm Cà</t>
  </si>
  <si>
    <t>Thôn Phiêng Bang</t>
  </si>
  <si>
    <t>Thôn Thẳm Mu</t>
  </si>
  <si>
    <t>Thôn To Đoóc</t>
  </si>
  <si>
    <t>X. Văn Minh</t>
  </si>
  <si>
    <t>Thôn Khuổi Liềng</t>
  </si>
  <si>
    <t>Thôn Khuổi Tục</t>
  </si>
  <si>
    <t>Thôn Nà Deng</t>
  </si>
  <si>
    <t>Thôn Nà Mực</t>
  </si>
  <si>
    <t>Thôn Nà Ngoà</t>
  </si>
  <si>
    <t>Thôn Nà Piẹt</t>
  </si>
  <si>
    <t>Thôn Nà Ro</t>
  </si>
  <si>
    <t>Thôn Pác Ban</t>
  </si>
  <si>
    <t>Thôn Pác Liềng</t>
  </si>
  <si>
    <t>X. Văn Vũ</t>
  </si>
  <si>
    <t>Thôn Chang Ngoà</t>
  </si>
  <si>
    <t>Thôn Khuổi Mụ</t>
  </si>
  <si>
    <t>Thôn Khuổi Tàn</t>
  </si>
  <si>
    <t>Thôn Khuổi Vạc</t>
  </si>
  <si>
    <t>Thôn Nà Ca</t>
  </si>
  <si>
    <t>Thôn Nà Chia</t>
  </si>
  <si>
    <t>Thôn Nà Quáng</t>
  </si>
  <si>
    <t>Thôn Nặm Rặc</t>
  </si>
  <si>
    <t>Thôn Pác Thôm</t>
  </si>
  <si>
    <t>Thôn Pò Cạu</t>
  </si>
  <si>
    <t>Thôn Pò Duốc</t>
  </si>
  <si>
    <t>Thôn Pò Lải</t>
  </si>
  <si>
    <t>Thôn Pò Phyeo</t>
  </si>
  <si>
    <t>Thôn Pò Rản</t>
  </si>
  <si>
    <t>Thôn Thôm Bả</t>
  </si>
  <si>
    <t>Thôn Thôm Eng</t>
  </si>
  <si>
    <t>Thôn Thôm Khinh</t>
  </si>
  <si>
    <t>Thôn Thôm Khon</t>
  </si>
  <si>
    <t>X. Xuân Dương</t>
  </si>
  <si>
    <t>Thôn Bắc Sen</t>
  </si>
  <si>
    <t>Thôn Cốc Càng</t>
  </si>
  <si>
    <t>Thôn Nà Cai</t>
  </si>
  <si>
    <t>T-60</t>
  </si>
  <si>
    <t>Thôn Nà Dăm</t>
  </si>
  <si>
    <t>Thôn Nà Nhạc</t>
  </si>
  <si>
    <t>Thôn Nà Tuồng</t>
  </si>
  <si>
    <t>Thôn Thôm Chản</t>
  </si>
  <si>
    <t>H. Ngân Sơn</t>
  </si>
  <si>
    <t>TT. Vân Tùng</t>
  </si>
  <si>
    <t>Tiểu khu I</t>
  </si>
  <si>
    <t>Tiểu khu II</t>
  </si>
  <si>
    <t>Tiểu khu Phố</t>
  </si>
  <si>
    <t>Tiểu khu Bản Liềng</t>
  </si>
  <si>
    <t>Tiểu khu Bản Súng</t>
  </si>
  <si>
    <t>Tiểu khu Đèo Gió</t>
  </si>
  <si>
    <t>Tiểu khu Tân Ý I</t>
  </si>
  <si>
    <t>Tiểu khu Tân Ý II</t>
  </si>
  <si>
    <t>TT. Nà Phặc</t>
  </si>
  <si>
    <t>Tổ dân phố Bản Cầy</t>
  </si>
  <si>
    <t>Tổ dân phố Bản Hùa</t>
  </si>
  <si>
    <t>Tổ dân phố Bản Mạch</t>
  </si>
  <si>
    <t>Tổ dân phố Cốc Pái</t>
  </si>
  <si>
    <t>Tổ dân phố Cốc Sả</t>
  </si>
  <si>
    <t>Tổ dân phố Cốc Tào</t>
  </si>
  <si>
    <t>Tổ dân phố Công Quản</t>
  </si>
  <si>
    <t>Tổ dân phố Lùng Lịa</t>
  </si>
  <si>
    <t>Tổ dân phố Lùng Nhá</t>
  </si>
  <si>
    <t>Tổ dân phố Mảy Van</t>
  </si>
  <si>
    <t>Tổ dân phố Nà Duồng</t>
  </si>
  <si>
    <t>Tổ dân phố Nà Kèng</t>
  </si>
  <si>
    <t>Tổ dân phố Nà Khoang</t>
  </si>
  <si>
    <t>Tổ dân phố Nà Làm</t>
  </si>
  <si>
    <t>Tổ dân phố Nà Này</t>
  </si>
  <si>
    <t>Tổ dân phố Nà Nọi</t>
  </si>
  <si>
    <t>Tổ dân phố Nà Pán</t>
  </si>
  <si>
    <t>Tổ dân phố Phia Chang</t>
  </si>
  <si>
    <t>Tổ dân phố Phia Đắng</t>
  </si>
  <si>
    <t>X. Bằng Vân</t>
  </si>
  <si>
    <t>Thôn Cốc Lải</t>
  </si>
  <si>
    <t>Thôn Đông Chót</t>
  </si>
  <si>
    <t>Thôn Khau Phòong</t>
  </si>
  <si>
    <t>Thôn Khau Slạo</t>
  </si>
  <si>
    <t>Thôn Khinh Héo</t>
  </si>
  <si>
    <t>Thôn Khu AB</t>
  </si>
  <si>
    <t>Thôn Khu C</t>
  </si>
  <si>
    <t>Thôn Khu Chợ 1</t>
  </si>
  <si>
    <t>Thôn Khu Chợ 2</t>
  </si>
  <si>
    <t>Thôn Khuổi Ngọa</t>
  </si>
  <si>
    <t>Thôn Lũng Sao</t>
  </si>
  <si>
    <t>Thôn Nặm Nộc</t>
  </si>
  <si>
    <t>Thôn Pác Nạn</t>
  </si>
  <si>
    <t>Thôn Pù Mò</t>
  </si>
  <si>
    <t>X. Cốc Đán</t>
  </si>
  <si>
    <t>Thôn Bản Pàu</t>
  </si>
  <si>
    <t>Thôn Bản Pồm</t>
  </si>
  <si>
    <t>Thôn Bản Sù</t>
  </si>
  <si>
    <t>Thôn Cốc Moỏng</t>
  </si>
  <si>
    <t>Thôn Hoàng Phài</t>
  </si>
  <si>
    <t>Thôn Khuổi Diễn</t>
  </si>
  <si>
    <t>Thôn Khuổi Hẻo</t>
  </si>
  <si>
    <t>Thôn Khuổi Ngoài</t>
  </si>
  <si>
    <t>Thôn Khuổi Slương</t>
  </si>
  <si>
    <t>Thôn Lũng Viền</t>
  </si>
  <si>
    <t>Thôn Nà Cháo</t>
  </si>
  <si>
    <t>Thôn Nà Coọt</t>
  </si>
  <si>
    <t>Thôn Nà Ngàn</t>
  </si>
  <si>
    <t>Thôn Phiêng Lèng</t>
  </si>
  <si>
    <t>Thôn Phiêng Soỏng</t>
  </si>
  <si>
    <t>Thôn Pù Có</t>
  </si>
  <si>
    <t>Thôn Tát Rịa</t>
  </si>
  <si>
    <t>Thôn Thôm Sinh</t>
  </si>
  <si>
    <t>X. Đức Vân</t>
  </si>
  <si>
    <t>Thôn Bản Đăm</t>
  </si>
  <si>
    <t>Thôn Bản Duồi</t>
  </si>
  <si>
    <t>Thôn Bản Tặc</t>
  </si>
  <si>
    <t>Thôn Nặm Làng</t>
  </si>
  <si>
    <t>Thôn Nưa Phia</t>
  </si>
  <si>
    <t>Thôn Phiêng Dượng</t>
  </si>
  <si>
    <t>X. Hiệp Lực</t>
  </si>
  <si>
    <t>Thôn Bản Cấu</t>
  </si>
  <si>
    <t>Thôn Bản Quản</t>
  </si>
  <si>
    <t>T-100</t>
  </si>
  <si>
    <t>Thôn Bó Lếch</t>
  </si>
  <si>
    <t>T-70</t>
  </si>
  <si>
    <t>Thôn Khuổi Ổn</t>
  </si>
  <si>
    <t>Thôn Liên Kết</t>
  </si>
  <si>
    <t>Thôn Nà Lạn</t>
  </si>
  <si>
    <t>Thôn Nà Nạc</t>
  </si>
  <si>
    <t>Thôn Phiêng Pục</t>
  </si>
  <si>
    <t>X. Thuần Mang</t>
  </si>
  <si>
    <t>Thôn Bản Băng</t>
  </si>
  <si>
    <t>Thôn Bản Nìm</t>
  </si>
  <si>
    <t>Thôn Cốc Ỏ</t>
  </si>
  <si>
    <t>Thôn Đông Tạo</t>
  </si>
  <si>
    <t>Thôn Khau Thốc</t>
  </si>
  <si>
    <t>Thôn Khuổi Chắp</t>
  </si>
  <si>
    <t>Thôn Khuổi Lầy</t>
  </si>
  <si>
    <t>Thôn Lũng Miệng</t>
  </si>
  <si>
    <t>Thôn Nà Chúa</t>
  </si>
  <si>
    <t>Thôn Nà Dầy</t>
  </si>
  <si>
    <t>Thôn Nà Mu</t>
  </si>
  <si>
    <t>Thôn Thôm Án</t>
  </si>
  <si>
    <t>Thôn Thôm Tà</t>
  </si>
  <si>
    <t>X. Thượng Ân</t>
  </si>
  <si>
    <t>Thôn Bàn Duồm A</t>
  </si>
  <si>
    <t>Thôn Bản Duồm B</t>
  </si>
  <si>
    <t>Thôn Bản Slành</t>
  </si>
  <si>
    <t>Thôn Hang Slậu</t>
  </si>
  <si>
    <t>Thôn Khuổi Slảo</t>
  </si>
  <si>
    <t>Thôn Khuổi Slặt</t>
  </si>
  <si>
    <t>Thôn Nà Y</t>
  </si>
  <si>
    <t>Thôn Phia Pảng</t>
  </si>
  <si>
    <t>Thôn Phiêng Khít</t>
  </si>
  <si>
    <t>Thôn Roỏng Tặc</t>
  </si>
  <si>
    <t>Thôn Roỏng Thù</t>
  </si>
  <si>
    <t>Thôn Thẳm Ông</t>
  </si>
  <si>
    <t>X. Thượng Quan</t>
  </si>
  <si>
    <t>Thôn Bằng Lãng</t>
  </si>
  <si>
    <t>Thôn Khau Liêu</t>
  </si>
  <si>
    <t>Thôn Khuổi Khương</t>
  </si>
  <si>
    <t>Thôn Ma Nòn</t>
  </si>
  <si>
    <t>Thôn Nà Kéo</t>
  </si>
  <si>
    <t>Thôn Pác Đa</t>
  </si>
  <si>
    <t>Thôn Pù Áng</t>
  </si>
  <si>
    <t>Thôn Pù Píoot</t>
  </si>
  <si>
    <t>Thôn Sáo Sào</t>
  </si>
  <si>
    <t>Thôn Slam Cóoc</t>
  </si>
  <si>
    <t>Thôn Tềnh Kiết</t>
  </si>
  <si>
    <t>Thôn Thuận Hưng</t>
  </si>
  <si>
    <t>X. Trung Hòa</t>
  </si>
  <si>
    <t>Thôn Bản Hòa</t>
  </si>
  <si>
    <t>Thôn Bản Phạc</t>
  </si>
  <si>
    <t>Thôn Bản Phắng</t>
  </si>
  <si>
    <t>Thôn Bó Mòn</t>
  </si>
  <si>
    <t>Thôn Cảng Cào</t>
  </si>
  <si>
    <t>Thôn Phiêng Sảng</t>
  </si>
  <si>
    <t>H. Pác Nặm</t>
  </si>
  <si>
    <t>X. An Thắng</t>
  </si>
  <si>
    <t>Thôn Khuổi Làng</t>
  </si>
  <si>
    <t>X-15</t>
  </si>
  <si>
    <t>Thôn Phiêng Pẻn</t>
  </si>
  <si>
    <t>Thôn Tân Hợi</t>
  </si>
  <si>
    <t>Thôn Tiến Bộ</t>
  </si>
  <si>
    <t>X. Bằng Thành</t>
  </si>
  <si>
    <t>Thôn Bản Khúa</t>
  </si>
  <si>
    <t>Thôn Bản Mạn</t>
  </si>
  <si>
    <t>Thôn Khâu Bang</t>
  </si>
  <si>
    <t>Thôn Khuổi Khí</t>
  </si>
  <si>
    <t>Thôn Khuổi Lạn</t>
  </si>
  <si>
    <t>Thôn Khuổi Lính</t>
  </si>
  <si>
    <t>Thôn Khuổi Mạn</t>
  </si>
  <si>
    <t>Thôn Khuổi Sảm</t>
  </si>
  <si>
    <t>Thôn Lủng Mít</t>
  </si>
  <si>
    <t>Thôn Nặm Sam</t>
  </si>
  <si>
    <t>Thôn Pác Nặm</t>
  </si>
  <si>
    <t>Thôn Phja Đăm</t>
  </si>
  <si>
    <t>X. Bộc Bố</t>
  </si>
  <si>
    <t>Thôn Đông Lẻo</t>
  </si>
  <si>
    <t>Thôn Khâu Đấng</t>
  </si>
  <si>
    <t>Thôn Khâu Phảng</t>
  </si>
  <si>
    <t>Thôn Khâu Vai</t>
  </si>
  <si>
    <t>Thôn Khuổi Bẻ</t>
  </si>
  <si>
    <t>Thôn Lủng Pảng</t>
  </si>
  <si>
    <t>Thôn Nà Hoi</t>
  </si>
  <si>
    <t>Thôn Nà Lẩy</t>
  </si>
  <si>
    <t>Thôn Nà Phẩn</t>
  </si>
  <si>
    <t>Thôn Nặm Mây</t>
  </si>
  <si>
    <t>Thôn Phiêng Lủng</t>
  </si>
  <si>
    <t>X. Cao Tân</t>
  </si>
  <si>
    <t>Thôn Bản Bón</t>
  </si>
  <si>
    <t>Thôn Bản Nhàm</t>
  </si>
  <si>
    <t>Thôn Bản Pjao</t>
  </si>
  <si>
    <t>Thôn Chẻ Pang</t>
  </si>
  <si>
    <t>Thôn Đuông Nưa</t>
  </si>
  <si>
    <t>T-80</t>
  </si>
  <si>
    <t>Thôn Lủng Pạp</t>
  </si>
  <si>
    <t>Thôn Mạ Khao</t>
  </si>
  <si>
    <t>Thôn Nà Lài</t>
  </si>
  <si>
    <t>Thôn Nà Quạng</t>
  </si>
  <si>
    <t>Thôn Nà Slia</t>
  </si>
  <si>
    <t>Thôn Nặm Đăm</t>
  </si>
  <si>
    <t>Thôn Phiêng Puốc</t>
  </si>
  <si>
    <t>Thôn Pù Lườn</t>
  </si>
  <si>
    <t>X. Cổ Linh</t>
  </si>
  <si>
    <t>Thôn Bản Cảm</t>
  </si>
  <si>
    <t>Thôn Bản Nghè</t>
  </si>
  <si>
    <t>Thôn Bản Sáng</t>
  </si>
  <si>
    <t>Thôn Cốc Nghè</t>
  </si>
  <si>
    <t>Thôn Khuổi Trà</t>
  </si>
  <si>
    <t>T-120</t>
  </si>
  <si>
    <t>Thôn Lủng Nghè</t>
  </si>
  <si>
    <t>Thôn Lủng Phặc</t>
  </si>
  <si>
    <t>Thôn Lủng Vài</t>
  </si>
  <si>
    <t>Thôn Nà Pùng</t>
  </si>
  <si>
    <t>Thôn Nặm Nhì</t>
  </si>
  <si>
    <t>Thôn Phja Bây</t>
  </si>
  <si>
    <t>Thôn Thôm Niêng</t>
  </si>
  <si>
    <t>X. Công Bằng</t>
  </si>
  <si>
    <t>Thôn Cốc Nọt</t>
  </si>
  <si>
    <t>Thôn Khên Lền</t>
  </si>
  <si>
    <t>Thôn Nà Chảo</t>
  </si>
  <si>
    <t>Thôn Nà Tậu</t>
  </si>
  <si>
    <t>Thôn Nặm Cáp</t>
  </si>
  <si>
    <t>Thôn Nặm Sai</t>
  </si>
  <si>
    <t>Thôn Phya Mạ</t>
  </si>
  <si>
    <t>Thôn Trung Hòa</t>
  </si>
  <si>
    <t>X. Giáo Hiệu</t>
  </si>
  <si>
    <t>Thôn Cốc Lào</t>
  </si>
  <si>
    <t>Thôn Hồng Mú</t>
  </si>
  <si>
    <t>Thôn Khâu Slôm</t>
  </si>
  <si>
    <t>Thôn Khuổi Lè</t>
  </si>
  <si>
    <t>Thôn Nà Mỵ</t>
  </si>
  <si>
    <t>Thôn Nà Thiêm</t>
  </si>
  <si>
    <t>X. Nghiên Loan</t>
  </si>
  <si>
    <t>Thôn Bản Đính</t>
  </si>
  <si>
    <t>Thôn Bản Nà</t>
  </si>
  <si>
    <t>Thôn Khâu Nèn</t>
  </si>
  <si>
    <t>Thôn Khâu Tậu</t>
  </si>
  <si>
    <t>Thôn Khuổi Muổng</t>
  </si>
  <si>
    <t>Thôn Khuổi Phây</t>
  </si>
  <si>
    <t>Thôn Khuổi Thao</t>
  </si>
  <si>
    <t>Thôn Khuổi Tuốn</t>
  </si>
  <si>
    <t>Thôn Khuổi Ún</t>
  </si>
  <si>
    <t>Thôn Nặm Vằm</t>
  </si>
  <si>
    <t>Thôn Pác Gỉa</t>
  </si>
  <si>
    <t>Thôn Pác Liển</t>
  </si>
  <si>
    <t>Thôn Phia Đeng</t>
  </si>
  <si>
    <t>X. Nhạn Môn</t>
  </si>
  <si>
    <t>Thôn Khuổi Ỏ</t>
  </si>
  <si>
    <t>Thôn Nà Bẻ</t>
  </si>
  <si>
    <t>Thôn Nặm Khiếu</t>
  </si>
  <si>
    <t>Thôn Ngảm Váng</t>
  </si>
  <si>
    <t>Thôn Phai Khỉm</t>
  </si>
  <si>
    <t>Thôn Phiêng Tạc</t>
  </si>
  <si>
    <t>Thôn Slam Vè</t>
  </si>
  <si>
    <t>Thôn Vy Lạp</t>
  </si>
  <si>
    <t>X. Xuân La</t>
  </si>
  <si>
    <t>Thôn Bản Sáp</t>
  </si>
  <si>
    <t>Thôn Cọn Luông</t>
  </si>
  <si>
    <t xml:space="preserve">Chưa có </t>
  </si>
  <si>
    <t>Thôn Khuổi Khỉ</t>
  </si>
  <si>
    <t>Thôn Lủng Muổng</t>
  </si>
  <si>
    <t>Thôn Nà Án</t>
  </si>
  <si>
    <t>Thôn Nặm Lịa</t>
  </si>
  <si>
    <t>Thôn Nặm Nhả</t>
  </si>
  <si>
    <t>Thôn Thôm Mèo</t>
  </si>
  <si>
    <t>TP. Bắc Kạn</t>
  </si>
  <si>
    <t>P. Đức Xuân</t>
  </si>
  <si>
    <t>Tổ dân phố số 1A</t>
  </si>
  <si>
    <t>Tổ dân phố số 1B</t>
  </si>
  <si>
    <t>X-135</t>
  </si>
  <si>
    <t>Tổ dân phố số 8A</t>
  </si>
  <si>
    <t>Tổ dân phố số 8B</t>
  </si>
  <si>
    <t>Tổ dân phố số 9A</t>
  </si>
  <si>
    <t>Tổ dân phố số 9B</t>
  </si>
  <si>
    <t>Tổ dân phố số 10A</t>
  </si>
  <si>
    <t>Tổ dân phố số 10B</t>
  </si>
  <si>
    <t>Tổ dân phố số 11C</t>
  </si>
  <si>
    <t>P. Huyền Tụng</t>
  </si>
  <si>
    <t>Tổ dân phố Bản Cạu</t>
  </si>
  <si>
    <t>Tổ dân phố Bản Vẻn</t>
  </si>
  <si>
    <t>Tổ dân phố Chí Lèn</t>
  </si>
  <si>
    <t>Tổ dân phố Đon Tuấn - Khuổi Dủm</t>
  </si>
  <si>
    <t>Tổ dân phố Giao Lâm</t>
  </si>
  <si>
    <t>X-45</t>
  </si>
  <si>
    <t>Tổ dân phố Khuổi Hẻo</t>
  </si>
  <si>
    <t>Tổ dân phố Khuổi Lặng</t>
  </si>
  <si>
    <t>Tổ dân phố Khuổi Mật</t>
  </si>
  <si>
    <t>Tổ dân phố Khuổi Pái</t>
  </si>
  <si>
    <t>Tổ dân phố Khuổi Thuổm</t>
  </si>
  <si>
    <t>Tổ dân phố Lâm Trường</t>
  </si>
  <si>
    <t>Tổ dân phố Nà Pam</t>
  </si>
  <si>
    <t>Tổ dân phố Nà Pèn</t>
  </si>
  <si>
    <t>Tổ dân phố Pá Danh</t>
  </si>
  <si>
    <t>Tổ dân phố Phiêng My</t>
  </si>
  <si>
    <t>Tổ dân phố Tổng Nẻng</t>
  </si>
  <si>
    <t>Tổ dân phố Xây Dựng</t>
  </si>
  <si>
    <t>T-20</t>
  </si>
  <si>
    <t>P. NT Minh Khai</t>
  </si>
  <si>
    <t>Tổ dân phố số 14</t>
  </si>
  <si>
    <t>P. Phùng Chí Kiên</t>
  </si>
  <si>
    <t>X-210</t>
  </si>
  <si>
    <t>P. Sông Cầu</t>
  </si>
  <si>
    <t>Tổ dân phố số 18</t>
  </si>
  <si>
    <t>Tổ dân phố số 19</t>
  </si>
  <si>
    <t>P. Xuất Hóa</t>
  </si>
  <si>
    <t>NQ21-ĐT</t>
  </si>
  <si>
    <t>X. Dương Quang</t>
  </si>
  <si>
    <t>Thôn Bản Bung</t>
  </si>
  <si>
    <t>Thôn Bản Giềng</t>
  </si>
  <si>
    <t>Thôn Bản Pẻn</t>
  </si>
  <si>
    <t>Thôn Nà Cưởm</t>
  </si>
  <si>
    <t>Thôn Nà Dì</t>
  </si>
  <si>
    <t>Thôn Nà Ỏi</t>
  </si>
  <si>
    <t>Thôn Phặc Tràng</t>
  </si>
  <si>
    <t>Thôn Quan Nưa</t>
  </si>
  <si>
    <t>X. Nông Thượng</t>
  </si>
  <si>
    <t>Thôn Cốc Muổng</t>
  </si>
  <si>
    <t>Thôn Khau Cút</t>
  </si>
  <si>
    <t>Thôn Khuổi Cuồng</t>
  </si>
  <si>
    <t>Thôn Nà Choong</t>
  </si>
  <si>
    <t>Thôn Nà Diểu</t>
  </si>
  <si>
    <t>Thôn Nà Kẹn</t>
  </si>
  <si>
    <t>Thôn Nà Nàng</t>
  </si>
  <si>
    <t>Thôn Nà Thinh</t>
  </si>
  <si>
    <t>Thôn Nà Vịt</t>
  </si>
  <si>
    <t>Thôn Nam Đội Thân</t>
  </si>
  <si>
    <t>Thôn Tân Thành</t>
  </si>
  <si>
    <t>Thôn Thôm Luông</t>
  </si>
  <si>
    <t>Toàn tỉnh</t>
  </si>
  <si>
    <t>Số lượng</t>
  </si>
  <si>
    <t>Thôn</t>
  </si>
  <si>
    <t>Tổ</t>
  </si>
  <si>
    <t>Loại 1</t>
  </si>
  <si>
    <t>Loại 2</t>
  </si>
  <si>
    <t>Tổng số</t>
  </si>
  <si>
    <t>Loại 3</t>
  </si>
  <si>
    <t>ĐVHC
cấp Huyện</t>
  </si>
  <si>
    <t>ĐVHC cấp Xã</t>
  </si>
  <si>
    <t>Số Hộ
(theo Huyện)</t>
  </si>
  <si>
    <t>Số Hộ
(theo Xã)</t>
  </si>
  <si>
    <t>Số Thôn/ TDP
(theo Huyện)</t>
  </si>
  <si>
    <t>Số Thôn/ TDP
(theo Xã)</t>
  </si>
  <si>
    <t>Phân loại
Thôn/ TDP</t>
  </si>
  <si>
    <t>Số Thôn/ TDP
(diện phải sáp nhập)</t>
  </si>
  <si>
    <t>Nhóm số thôn/TDP
(của 1 xã)</t>
  </si>
  <si>
    <t>Số xã</t>
  </si>
  <si>
    <r>
      <rPr>
        <b/>
        <sz val="12"/>
        <color theme="1"/>
        <rFont val="Times New Roman"/>
      </rPr>
      <t>- Loại 1:</t>
    </r>
    <r>
      <rPr>
        <sz val="12"/>
        <color theme="1"/>
        <rFont val="Times New Roman"/>
      </rPr>
      <t xml:space="preserve"> 03
</t>
    </r>
    <r>
      <rPr>
        <b/>
        <sz val="12"/>
        <color theme="1"/>
        <rFont val="Times New Roman"/>
      </rPr>
      <t>- Loại 2:</t>
    </r>
    <r>
      <rPr>
        <sz val="12"/>
        <color theme="1"/>
        <rFont val="Times New Roman"/>
      </rPr>
      <t xml:space="preserve"> 22
</t>
    </r>
    <r>
      <rPr>
        <b/>
        <sz val="12"/>
        <color theme="1"/>
        <rFont val="Times New Roman"/>
      </rPr>
      <t>- Loại 3:</t>
    </r>
    <r>
      <rPr>
        <sz val="12"/>
        <color theme="1"/>
        <rFont val="Times New Roman"/>
      </rPr>
      <t xml:space="preserve"> 154</t>
    </r>
  </si>
  <si>
    <t>&lt;5</t>
  </si>
  <si>
    <t>11-15</t>
  </si>
  <si>
    <t>16-20</t>
  </si>
  <si>
    <t>21-25</t>
  </si>
  <si>
    <r>
      <rPr>
        <b/>
        <sz val="12"/>
        <color theme="1"/>
        <rFont val="Times New Roman"/>
      </rPr>
      <t>- Loại 1:</t>
    </r>
    <r>
      <rPr>
        <sz val="12"/>
        <color theme="1"/>
        <rFont val="Times New Roman"/>
      </rPr>
      <t xml:space="preserve"> 0
</t>
    </r>
    <r>
      <rPr>
        <b/>
        <sz val="12"/>
        <color theme="1"/>
        <rFont val="Times New Roman"/>
      </rPr>
      <t>- Loại 2:</t>
    </r>
    <r>
      <rPr>
        <sz val="12"/>
        <color theme="1"/>
        <rFont val="Times New Roman"/>
      </rPr>
      <t xml:space="preserve"> 12
</t>
    </r>
    <r>
      <rPr>
        <b/>
        <sz val="12"/>
        <color theme="1"/>
        <rFont val="Times New Roman"/>
      </rPr>
      <t>- Loại 3:</t>
    </r>
    <r>
      <rPr>
        <sz val="12"/>
        <color theme="1"/>
        <rFont val="Times New Roman"/>
      </rPr>
      <t xml:space="preserve"> 127</t>
    </r>
  </si>
  <si>
    <r>
      <rPr>
        <b/>
        <sz val="12"/>
        <color theme="1"/>
        <rFont val="Times New Roman"/>
      </rPr>
      <t>- Loại 1:</t>
    </r>
    <r>
      <rPr>
        <sz val="12"/>
        <color theme="1"/>
        <rFont val="Times New Roman"/>
      </rPr>
      <t xml:space="preserve"> 01
</t>
    </r>
    <r>
      <rPr>
        <b/>
        <sz val="12"/>
        <color theme="1"/>
        <rFont val="Times New Roman"/>
      </rPr>
      <t>- Loại 2:</t>
    </r>
    <r>
      <rPr>
        <sz val="12"/>
        <color theme="1"/>
        <rFont val="Times New Roman"/>
      </rPr>
      <t xml:space="preserve"> 17
</t>
    </r>
    <r>
      <rPr>
        <b/>
        <sz val="12"/>
        <color theme="1"/>
        <rFont val="Times New Roman"/>
      </rPr>
      <t>- Loại 3:</t>
    </r>
    <r>
      <rPr>
        <sz val="12"/>
        <color theme="1"/>
        <rFont val="Times New Roman"/>
      </rPr>
      <t xml:space="preserve"> 209</t>
    </r>
  </si>
  <si>
    <r>
      <rPr>
        <b/>
        <sz val="12"/>
        <color theme="1"/>
        <rFont val="Times New Roman"/>
      </rPr>
      <t>- Loại 1:</t>
    </r>
    <r>
      <rPr>
        <sz val="12"/>
        <color theme="1"/>
        <rFont val="Times New Roman"/>
      </rPr>
      <t xml:space="preserve"> 01
</t>
    </r>
    <r>
      <rPr>
        <b/>
        <sz val="12"/>
        <color theme="1"/>
        <rFont val="Times New Roman"/>
      </rPr>
      <t>- Loại 2:</t>
    </r>
    <r>
      <rPr>
        <sz val="12"/>
        <color theme="1"/>
        <rFont val="Times New Roman"/>
      </rPr>
      <t xml:space="preserve"> 20
</t>
    </r>
    <r>
      <rPr>
        <b/>
        <sz val="12"/>
        <color theme="1"/>
        <rFont val="Times New Roman"/>
      </rPr>
      <t>- Loại 3:</t>
    </r>
    <r>
      <rPr>
        <sz val="12"/>
        <color theme="1"/>
        <rFont val="Times New Roman"/>
      </rPr>
      <t xml:space="preserve"> 132</t>
    </r>
  </si>
  <si>
    <r>
      <rPr>
        <b/>
        <sz val="12"/>
        <color theme="1"/>
        <rFont val="Times New Roman"/>
      </rPr>
      <t>- Loại 1:</t>
    </r>
    <r>
      <rPr>
        <sz val="12"/>
        <color theme="1"/>
        <rFont val="Times New Roman"/>
      </rPr>
      <t xml:space="preserve"> 0
</t>
    </r>
    <r>
      <rPr>
        <b/>
        <sz val="12"/>
        <color theme="1"/>
        <rFont val="Times New Roman"/>
      </rPr>
      <t>- Loại 2:</t>
    </r>
    <r>
      <rPr>
        <sz val="12"/>
        <color theme="1"/>
        <rFont val="Times New Roman"/>
      </rPr>
      <t xml:space="preserve"> 04
</t>
    </r>
    <r>
      <rPr>
        <b/>
        <sz val="12"/>
        <color theme="1"/>
        <rFont val="Times New Roman"/>
      </rPr>
      <t>- Loại 3:</t>
    </r>
    <r>
      <rPr>
        <sz val="12"/>
        <color theme="1"/>
        <rFont val="Times New Roman"/>
      </rPr>
      <t xml:space="preserve"> 218</t>
    </r>
  </si>
  <si>
    <r>
      <rPr>
        <b/>
        <sz val="12"/>
        <color theme="1"/>
        <rFont val="Times New Roman"/>
      </rPr>
      <t>- Loại 1:</t>
    </r>
    <r>
      <rPr>
        <sz val="12"/>
        <color theme="1"/>
        <rFont val="Times New Roman"/>
      </rPr>
      <t xml:space="preserve"> 02
</t>
    </r>
    <r>
      <rPr>
        <b/>
        <sz val="12"/>
        <color theme="1"/>
        <rFont val="Times New Roman"/>
      </rPr>
      <t>- Loại 2:</t>
    </r>
    <r>
      <rPr>
        <sz val="12"/>
        <color theme="1"/>
        <rFont val="Times New Roman"/>
      </rPr>
      <t xml:space="preserve"> 07
</t>
    </r>
    <r>
      <rPr>
        <b/>
        <sz val="12"/>
        <color theme="1"/>
        <rFont val="Times New Roman"/>
      </rPr>
      <t>- Loại 3:</t>
    </r>
    <r>
      <rPr>
        <sz val="12"/>
        <color theme="1"/>
        <rFont val="Times New Roman"/>
      </rPr>
      <t xml:space="preserve"> 133</t>
    </r>
  </si>
  <si>
    <r>
      <rPr>
        <b/>
        <sz val="12"/>
        <color theme="1"/>
        <rFont val="Times New Roman"/>
      </rPr>
      <t>- Loại 1:</t>
    </r>
    <r>
      <rPr>
        <sz val="12"/>
        <color theme="1"/>
        <rFont val="Times New Roman"/>
      </rPr>
      <t xml:space="preserve"> 01
</t>
    </r>
    <r>
      <rPr>
        <b/>
        <sz val="12"/>
        <color theme="1"/>
        <rFont val="Times New Roman"/>
      </rPr>
      <t>- Loại 2:</t>
    </r>
    <r>
      <rPr>
        <sz val="12"/>
        <color theme="1"/>
        <rFont val="Times New Roman"/>
      </rPr>
      <t xml:space="preserve"> 16
</t>
    </r>
    <r>
      <rPr>
        <b/>
        <sz val="12"/>
        <color theme="1"/>
        <rFont val="Times New Roman"/>
      </rPr>
      <t>- Loại 3:</t>
    </r>
    <r>
      <rPr>
        <sz val="12"/>
        <color theme="1"/>
        <rFont val="Times New Roman"/>
      </rPr>
      <t xml:space="preserve"> 96</t>
    </r>
  </si>
  <si>
    <r>
      <rPr>
        <b/>
        <sz val="12"/>
        <color theme="1"/>
        <rFont val="Times New Roman"/>
      </rPr>
      <t>- Loại 1:</t>
    </r>
    <r>
      <rPr>
        <sz val="12"/>
        <color theme="1"/>
        <rFont val="Times New Roman"/>
      </rPr>
      <t xml:space="preserve"> 10
</t>
    </r>
    <r>
      <rPr>
        <b/>
        <sz val="12"/>
        <color theme="1"/>
        <rFont val="Times New Roman"/>
      </rPr>
      <t>- Loại 2:</t>
    </r>
    <r>
      <rPr>
        <sz val="12"/>
        <color theme="1"/>
        <rFont val="Times New Roman"/>
      </rPr>
      <t xml:space="preserve"> 15
</t>
    </r>
    <r>
      <rPr>
        <b/>
        <sz val="12"/>
        <color theme="1"/>
        <rFont val="Times New Roman"/>
      </rPr>
      <t>- Loại 3:</t>
    </r>
    <r>
      <rPr>
        <sz val="12"/>
        <color theme="1"/>
        <rFont val="Times New Roman"/>
      </rPr>
      <t xml:space="preserve"> 92</t>
    </r>
  </si>
  <si>
    <t>Tổng cộng (tỉnh)</t>
  </si>
  <si>
    <r>
      <rPr>
        <b/>
        <i/>
        <sz val="12"/>
        <color rgb="FFFF0000"/>
        <rFont val="Times New Roman"/>
      </rPr>
      <t>- Loại 1:</t>
    </r>
    <r>
      <rPr>
        <i/>
        <sz val="12"/>
        <color rgb="FFFF0000"/>
        <rFont val="Times New Roman"/>
      </rPr>
      <t xml:space="preserve"> 18</t>
    </r>
    <r>
      <rPr>
        <b/>
        <i/>
        <sz val="12"/>
        <color rgb="FFFF0000"/>
        <rFont val="Times New Roman"/>
      </rPr>
      <t xml:space="preserve">
- Loại 2:</t>
    </r>
    <r>
      <rPr>
        <i/>
        <sz val="12"/>
        <color rgb="FFFF0000"/>
        <rFont val="Times New Roman"/>
      </rPr>
      <t xml:space="preserve"> 113</t>
    </r>
    <r>
      <rPr>
        <b/>
        <i/>
        <sz val="12"/>
        <color rgb="FFFF0000"/>
        <rFont val="Times New Roman"/>
      </rPr>
      <t xml:space="preserve">
- Loại 3: </t>
    </r>
    <r>
      <rPr>
        <i/>
        <sz val="12"/>
        <color rgb="FFFF0000"/>
        <rFont val="Times New Roman"/>
      </rPr>
      <t>1.161</t>
    </r>
  </si>
  <si>
    <r>
      <rPr>
        <b/>
        <i/>
        <u/>
        <sz val="12"/>
        <color theme="1"/>
        <rFont val="Times New Roman"/>
      </rPr>
      <t>Ghi chú:</t>
    </r>
    <r>
      <rPr>
        <b/>
        <i/>
        <sz val="12"/>
        <color theme="1"/>
        <rFont val="Times New Roman"/>
      </rPr>
      <t xml:space="preserve"> </t>
    </r>
    <r>
      <rPr>
        <i/>
        <sz val="12"/>
        <color theme="1"/>
        <rFont val="Times New Roman"/>
      </rPr>
      <t>Số liệu trên đã được UBND các xã cập nhật đến tháng 4/2024 và Sở Nội vụ đã xử lý thống kê theo quy định hiện hành</t>
    </r>
  </si>
  <si>
    <t xml:space="preserve">        SỞ NỘI VỤ</t>
  </si>
  <si>
    <t>TT</t>
  </si>
  <si>
    <t>GHI CHÚ</t>
  </si>
  <si>
    <t>Tổng cộng</t>
  </si>
  <si>
    <t>Phụ lục II</t>
  </si>
  <si>
    <t xml:space="preserve">           SỞ NỘI VỤ</t>
  </si>
  <si>
    <t>TỔNG HỢP CHI TIẾT NHU CẦU SÁP NHẬP THÔN/TỔ NĂM 2022</t>
  </si>
  <si>
    <t>(Kèm theo Công văn số……/SNV-XDCQ&amp;CTTN ngày……/7/2022 của Sở Nội vụ)</t>
  </si>
  <si>
    <t>Tên, số hộ 
trước khi sáp nhập</t>
  </si>
  <si>
    <t>Số hộ nghèo</t>
  </si>
  <si>
    <t>Tỷ lệ cử tri  đồng ý</t>
  </si>
  <si>
    <t>Tình trạng nhà họp thôn/tổ</t>
  </si>
  <si>
    <t>Thành phần dân tộc chủ yếu</t>
  </si>
  <si>
    <t>Thuộc diện thôn ĐBKK</t>
  </si>
  <si>
    <t>Phương án sáp nhập</t>
  </si>
  <si>
    <t>Tên, số hộ 
sau khi sáp nhập</t>
  </si>
  <si>
    <t>Khoảng cách giữa các thôn (km)</t>
  </si>
  <si>
    <t>Tên đơn vị; 
thôn, tổ dân phố</t>
  </si>
  <si>
    <t>Số hộ</t>
  </si>
  <si>
    <t>Tỷ lệ (%)</t>
  </si>
  <si>
    <t>Dự kiến tên thôn, tổ dân phố mới</t>
  </si>
  <si>
    <t>I. HUYỆN BẠCH THÔNG</t>
  </si>
  <si>
    <t>Xã Quang Thuận</t>
  </si>
  <si>
    <t>Có - QM: 70 chỗ ngồi</t>
  </si>
  <si>
    <t>Tày</t>
  </si>
  <si>
    <t>Thôn Nà Đinh + Thôn Nà Chạp</t>
  </si>
  <si>
    <t>Thôn Tổng Đinh</t>
  </si>
  <si>
    <t>Có - QM: 100 chỗ ngồi</t>
  </si>
  <si>
    <t>Có - QM: 80 chỗ ngồi</t>
  </si>
  <si>
    <t>Thôn Nà Thoi + Thôn Boóc Khún</t>
  </si>
  <si>
    <t>Tày - Kinh</t>
  </si>
  <si>
    <t>Thôn Khuổi Piểu + Thôn Nà Kha + Thôn Nà Lẹng</t>
  </si>
  <si>
    <t xml:space="preserve">Thôn Nà Vài + Thôn Nà Lìu + Thôn Phiêng An </t>
  </si>
  <si>
    <t>Thôn Bình An</t>
  </si>
  <si>
    <t>Dao - Kinh</t>
  </si>
  <si>
    <t>II. HUYỆN CHỢ ĐỒN</t>
  </si>
  <si>
    <t>1. Xã Yên Phong</t>
  </si>
  <si>
    <t>Có - QM: 34 chỗ ngồi</t>
  </si>
  <si>
    <t>Thôn Bản Quăng + Thôn Đon Mạ</t>
  </si>
  <si>
    <t>Tày - Kinh - Dao</t>
  </si>
  <si>
    <t>Có - QM: 66 chỗ ngồi</t>
  </si>
  <si>
    <t>Thôn Bản Noỏng + Thôn Bản Lẹng + Thôn Pác Đá</t>
  </si>
  <si>
    <t>Thôn Pác Là + Thôn Pác Toong + Thôn Phiêng Quắc</t>
  </si>
  <si>
    <t>Thôn Nà Chợ + Thôn Nà Mạng + Thôn Khuổi Xỏm</t>
  </si>
  <si>
    <t>Thôn Khuổi Huân</t>
  </si>
  <si>
    <t>Có - QM: 25 chỗ ngồi</t>
  </si>
  <si>
    <t>Tày - Kinh - Nùng</t>
  </si>
  <si>
    <t>2. Xã Lương Bằng</t>
  </si>
  <si>
    <t>Tày-dao-kinh</t>
  </si>
  <si>
    <t>Thôn Tham Thẩu + Thôn Bản Vèn</t>
  </si>
  <si>
    <t>Tày-dao kinh</t>
  </si>
  <si>
    <t>Thôn Nà Chiếm + Thôn Bản Quằng</t>
  </si>
  <si>
    <t>Dao</t>
  </si>
  <si>
    <t>III. HUYỆN CHỢ MỚI</t>
  </si>
  <si>
    <t>1. Xã Nông Hạ</t>
  </si>
  <si>
    <t>Tày- Kinh</t>
  </si>
  <si>
    <t>Thôn Nà Cắn+ Thôn Nà Cù+ Thôn Ná Bia</t>
  </si>
  <si>
    <t>Thôn Tân Phong</t>
  </si>
  <si>
    <t>X- 50</t>
  </si>
  <si>
    <t>Tày-Kinh</t>
  </si>
  <si>
    <t>Thôn Nà Bản + Thôn Nà Mẩy</t>
  </si>
  <si>
    <t>Thôn Đồng Tiến</t>
  </si>
  <si>
    <t>Thôn Bản Tết 2+ Thôn Xí Nghiệp</t>
  </si>
  <si>
    <t>HUYỆN NGÂN SƠN</t>
  </si>
  <si>
    <t>Xã Hiệp Lực</t>
  </si>
  <si>
    <t>35.71</t>
  </si>
  <si>
    <t>Có - quy mô: 30 chỗ ngồi</t>
  </si>
  <si>
    <t>Nùng</t>
  </si>
  <si>
    <t>Thôn Phiêng Pục + Nà Càng</t>
  </si>
  <si>
    <t>Chưa dự kiến</t>
  </si>
  <si>
    <t>35.00</t>
  </si>
  <si>
    <t>&gt;=20</t>
  </si>
  <si>
    <t>HUYỆN/TP</t>
  </si>
  <si>
    <t>TỔNG SỐ THÔN, TỔ/TIỂU KHU</t>
  </si>
  <si>
    <t>THUỘC DIỆN SÁP NHẬP</t>
  </si>
  <si>
    <t>Test</t>
  </si>
  <si>
    <r>
      <rPr>
        <sz val="13"/>
        <color rgb="FF000000"/>
        <rFont val="Times New Roman"/>
        <family val="1"/>
        <scheme val="minor"/>
      </rPr>
      <t>UBND TỈNH BẮC KẠN</t>
    </r>
    <r>
      <rPr>
        <b/>
        <sz val="13"/>
        <color rgb="FF000000"/>
        <rFont val="Times New Roman"/>
        <scheme val="minor"/>
      </rPr>
      <t xml:space="preserve">
SỞ NỘI VỤ</t>
    </r>
  </si>
  <si>
    <t>THỐNG KÊ SỐ HỘ VÀ SỐ THÔN, TỔ DÂN PHỐ THEO TỪNG ĐVHC CẤP HUYỆN, CẤP XÃ</t>
  </si>
  <si>
    <r>
      <t xml:space="preserve">BIỂU THÔNG TIN THÔN, TỔ DÂN PHỐ DIỆN PHẢI XEM XÉT SÁP NHẬP
</t>
    </r>
    <r>
      <rPr>
        <i/>
        <sz val="14"/>
        <color rgb="FFFF0000"/>
        <rFont val="Times New Roman"/>
      </rPr>
      <t>(Số liệu cập nhật đến tháng 8/2024)</t>
    </r>
  </si>
  <si>
    <t>Kiểm tra 
(diện sáp nhập)</t>
  </si>
  <si>
    <r>
      <t xml:space="preserve">Diện xem xét, sáp nhập 
</t>
    </r>
    <r>
      <rPr>
        <sz val="11"/>
        <color rgb="FFFF0000"/>
        <rFont val="Times New Roman"/>
      </rPr>
      <t>(&lt;50% TC)</t>
    </r>
  </si>
  <si>
    <r>
      <t xml:space="preserve">DỰ KIẾN PHÂN LOẠI LẠI THÔN, TỔ DÂN PHỐ TOÀN TỈNH </t>
    </r>
    <r>
      <rPr>
        <b/>
        <sz val="14"/>
        <color rgb="FFFF0000"/>
        <rFont val="Times New Roman"/>
      </rPr>
      <t>NĂM 2024</t>
    </r>
    <r>
      <rPr>
        <b/>
        <sz val="14"/>
        <color theme="1"/>
        <rFont val="Times New Roman"/>
      </rPr>
      <t xml:space="preserve">
</t>
    </r>
    <r>
      <rPr>
        <i/>
        <sz val="14"/>
        <color theme="1"/>
        <rFont val="Times New Roman"/>
      </rPr>
      <t>(Kèm theo Công văn số……/SNV-XDCQ&amp;CTTN ngày……</t>
    </r>
    <r>
      <rPr>
        <i/>
        <sz val="14"/>
        <color rgb="FFFF0000"/>
        <rFont val="Times New Roman"/>
      </rPr>
      <t>/9/2024</t>
    </r>
    <r>
      <rPr>
        <i/>
        <sz val="14"/>
        <color theme="1"/>
        <rFont val="Times New Roman"/>
      </rPr>
      <t xml:space="preserve"> của Sở Nội vụ)</t>
    </r>
  </si>
  <si>
    <t>ỦY BAN NHÂN DÂN</t>
  </si>
  <si>
    <t>….........................</t>
  </si>
  <si>
    <t>BIỂU PHƯƠNG ÁN SẮP XẾP, SÁP NHẬP, ĐỔI TÊN THÔN, TỔ DÂN PHỐ NĂM 2024</t>
  </si>
  <si>
    <t>(Kèm theo Công văn số         /UBND-NV ngày         /                /2024 của UBND huyện/thành phố…...............)</t>
  </si>
  <si>
    <t>Tỷ lệ hộ nghèo</t>
  </si>
  <si>
    <t>Tên thôn, tổ dân phố mới</t>
  </si>
  <si>
    <t>I. HUYỆN A</t>
  </si>
  <si>
    <t>1. Xã B</t>
  </si>
  <si>
    <t>Thôn 1</t>
  </si>
  <si>
    <t>Nùng (60%)- Tày (35%)</t>
  </si>
  <si>
    <t>Thôn 1 + Thôn 2</t>
  </si>
  <si>
    <t>Thôn …...</t>
  </si>
  <si>
    <t>Loại…</t>
  </si>
  <si>
    <t>Có - QM: 50 chỗ ngồi</t>
  </si>
  <si>
    <t>Nùng- Tày</t>
  </si>
  <si>
    <t>Thôn 3</t>
  </si>
  <si>
    <t>…</t>
  </si>
  <si>
    <t>Thôn 3 + Thôn 4</t>
  </si>
  <si>
    <t>Thôn 4</t>
  </si>
  <si>
    <t>2. Xã C</t>
  </si>
  <si>
    <t>Dao (96,7%)</t>
  </si>
  <si>
    <t>Tày (79%)</t>
  </si>
  <si>
    <t>II. HUYỆN D</t>
  </si>
  <si>
    <t>1. Xã Đ</t>
  </si>
  <si>
    <t>Thôn 1 + Thôn 2 + Thôn 3</t>
  </si>
  <si>
    <t>Thôn 4 + Thôn 5</t>
  </si>
  <si>
    <t>Thôn 5</t>
  </si>
  <si>
    <t>2. Xã E</t>
  </si>
  <si>
    <t>BIỂU PHƯƠNG ÁN ĐỔI TÊN THÔN, TỔ DÂN PHỐ NĂM 2024</t>
  </si>
  <si>
    <t>(Kèm theo Công văn số      /UBND-NV ngày      /        /2024 của UBND huyện/thành phố…......)</t>
  </si>
  <si>
    <t>STT</t>
  </si>
  <si>
    <t>Tên thôn, tổ cũ</t>
  </si>
  <si>
    <t>Tổng số thôn, tổ đổi tên</t>
  </si>
  <si>
    <t xml:space="preserve">Tên thôn, tổ mới </t>
  </si>
  <si>
    <t>Thị trấn ...</t>
  </si>
  <si>
    <t>Thôn …..........</t>
  </si>
  <si>
    <t>Tổ dân phố số…</t>
  </si>
  <si>
    <t>II. HUYỆN B</t>
  </si>
  <si>
    <t>Thị trấn...</t>
  </si>
  <si>
    <t>Tổ …...............</t>
  </si>
  <si>
    <t xml:space="preserve">Tổng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</si>
</sst>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(* #,##0.00_);_(* \(#,##0.00\);_(* &quot;-&quot;??_);_(@_)"/>
    <numFmt numFmtId="166" formatCode="_(* #,##0_);_(* \(#,##0\);_(* &quot;-&quot;??_);_(@_)"/>
    <numFmt numFmtId="167" formatCode="d\-m"/>
  </numFmts>
  <fonts count="66">
    <font>
      <sz val="12"/>
      <color theme="1"/>
      <name val="Times New Roman"/>
      <scheme val="minor"/>
    </font>
    <font>
      <sz val="12"/>
      <color theme="1"/>
      <name val="Times New Roman"/>
    </font>
    <font>
      <sz val="12"/>
      <color rgb="FFFF0000"/>
      <name val="Times New Roman"/>
    </font>
    <font>
      <b/>
      <i/>
      <sz val="12"/>
      <color rgb="FFFF0000"/>
      <name val="Times New Roman"/>
    </font>
    <font>
      <i/>
      <sz val="12"/>
      <color theme="1"/>
      <name val="Times New Roman"/>
    </font>
    <font>
      <i/>
      <sz val="12"/>
      <color rgb="FFFF0000"/>
      <name val="Times New Roman"/>
    </font>
    <font>
      <b/>
      <sz val="12"/>
      <color theme="1"/>
      <name val="Times New Roman"/>
    </font>
    <font>
      <b/>
      <sz val="14"/>
      <color theme="1"/>
      <name val="Times New Roman"/>
    </font>
    <font>
      <sz val="12"/>
      <name val="Times New Roman"/>
    </font>
    <font>
      <b/>
      <sz val="12"/>
      <color rgb="FFFF0000"/>
      <name val="Times New Roman"/>
    </font>
    <font>
      <b/>
      <sz val="11"/>
      <color theme="1"/>
      <name val="Times New Roman"/>
    </font>
    <font>
      <b/>
      <i/>
      <sz val="12"/>
      <color theme="1"/>
      <name val="Times New Roman"/>
    </font>
    <font>
      <sz val="12"/>
      <color rgb="FF000000"/>
      <name val="Times New Roman"/>
    </font>
    <font>
      <sz val="12"/>
      <color theme="1"/>
      <name val="Times New Roman"/>
      <scheme val="minor"/>
    </font>
    <font>
      <sz val="12"/>
      <color rgb="FFFF0000"/>
      <name val="&quot;Times New Roman&quot;"/>
    </font>
    <font>
      <sz val="12"/>
      <color rgb="FFFF0000"/>
      <name val="&quot;Times New Roman&quot;"/>
    </font>
    <font>
      <b/>
      <i/>
      <sz val="14"/>
      <color rgb="FFFF0000"/>
      <name val="Times New Roman"/>
    </font>
    <font>
      <b/>
      <i/>
      <sz val="14"/>
      <color rgb="FFFF9900"/>
      <name val="Times New Roman"/>
    </font>
    <font>
      <sz val="10"/>
      <color rgb="FFFF0000"/>
      <name val="Times New Roman"/>
    </font>
    <font>
      <b/>
      <sz val="13"/>
      <color rgb="FF000000"/>
      <name val="Times New Roman"/>
      <scheme val="minor"/>
    </font>
    <font>
      <b/>
      <sz val="14"/>
      <color rgb="FFFF0000"/>
      <name val="Times New Roman"/>
      <scheme val="minor"/>
    </font>
    <font>
      <b/>
      <sz val="12"/>
      <color theme="1"/>
      <name val="Times New Roman"/>
      <scheme val="minor"/>
    </font>
    <font>
      <b/>
      <i/>
      <sz val="12"/>
      <color rgb="FFFF0000"/>
      <name val="Times New Roman"/>
      <scheme val="minor"/>
    </font>
    <font>
      <b/>
      <i/>
      <sz val="12"/>
      <color theme="1"/>
      <name val="Times New Roman"/>
      <scheme val="minor"/>
    </font>
    <font>
      <sz val="14"/>
      <color theme="1"/>
      <name val="Times New Roman"/>
    </font>
    <font>
      <i/>
      <sz val="14"/>
      <color rgb="FFFF0000"/>
      <name val="Times New Roman"/>
    </font>
    <font>
      <sz val="12"/>
      <color theme="1"/>
      <name val="&quot;Times New Roman&quot;"/>
    </font>
    <font>
      <b/>
      <sz val="13"/>
      <color theme="1"/>
      <name val="Times New Roman"/>
    </font>
    <font>
      <b/>
      <sz val="13"/>
      <color rgb="FFFF0000"/>
      <name val="Times New Roman"/>
    </font>
    <font>
      <b/>
      <i/>
      <sz val="13"/>
      <color theme="1"/>
      <name val="Times New Roman"/>
    </font>
    <font>
      <sz val="13"/>
      <color theme="1"/>
      <name val="Times New Roman"/>
    </font>
    <font>
      <i/>
      <sz val="9"/>
      <color rgb="FFFF0000"/>
      <name val="Times New Roman"/>
    </font>
    <font>
      <i/>
      <sz val="14"/>
      <color rgb="FF9900FF"/>
      <name val="Times New Roman"/>
    </font>
    <font>
      <sz val="14"/>
      <color rgb="FFFF0000"/>
      <name val="Times New Roman"/>
    </font>
    <font>
      <i/>
      <sz val="14"/>
      <color theme="1"/>
      <name val="Times New Roman"/>
    </font>
    <font>
      <b/>
      <sz val="14"/>
      <color rgb="FFFF0000"/>
      <name val="Times New Roman"/>
    </font>
    <font>
      <i/>
      <sz val="11"/>
      <color rgb="FFFF0000"/>
      <name val="Times New Roman"/>
    </font>
    <font>
      <sz val="11"/>
      <color rgb="FFFF0000"/>
      <name val="Times New Roman"/>
    </font>
    <font>
      <b/>
      <i/>
      <u/>
      <sz val="12"/>
      <color theme="1"/>
      <name val="Times New Roman"/>
    </font>
    <font>
      <sz val="13"/>
      <color rgb="FF000000"/>
      <name val="Times New Roman"/>
      <family val="1"/>
      <scheme val="minor"/>
    </font>
    <font>
      <b/>
      <sz val="13"/>
      <color rgb="FF000000"/>
      <name val="Times New Roman"/>
      <family val="1"/>
      <scheme val="minor"/>
    </font>
    <font>
      <b/>
      <sz val="14"/>
      <color rgb="FFFF0000"/>
      <name val="Times New Roman"/>
      <family val="1"/>
      <scheme val="minor"/>
    </font>
    <font>
      <b/>
      <i/>
      <sz val="14"/>
      <color theme="9"/>
      <name val="Times New Roman"/>
      <family val="1"/>
    </font>
    <font>
      <sz val="12"/>
      <color theme="9"/>
      <name val="Times New Roman"/>
      <family val="1"/>
      <scheme val="minor"/>
    </font>
    <font>
      <b/>
      <i/>
      <sz val="14"/>
      <color rgb="FFFF0000"/>
      <name val="Times New Roman"/>
      <family val="1"/>
    </font>
    <font>
      <sz val="12"/>
      <color rgb="FFFF0000"/>
      <name val="Times New Roman"/>
      <family val="1"/>
      <scheme val="minor"/>
    </font>
    <font>
      <b/>
      <sz val="11"/>
      <color theme="1"/>
      <name val="Times New Roman"/>
      <family val="1"/>
    </font>
    <font>
      <sz val="12"/>
      <color indexed="8"/>
      <name val="Times New Roman"/>
      <family val="2"/>
    </font>
    <font>
      <sz val="12"/>
      <name val="Times New Roman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63"/>
    </font>
    <font>
      <b/>
      <i/>
      <sz val="12"/>
      <color rgb="FFFF0000"/>
      <name val="Times New Roman"/>
      <family val="1"/>
    </font>
    <font>
      <b/>
      <sz val="12"/>
      <name val="Times New Roman"/>
      <family val="2"/>
    </font>
    <font>
      <b/>
      <sz val="12"/>
      <name val="Times New Roman"/>
      <family val="1"/>
      <charset val="163"/>
    </font>
    <font>
      <i/>
      <sz val="12"/>
      <name val="Times New Roman"/>
      <family val="2"/>
    </font>
    <font>
      <i/>
      <sz val="12"/>
      <name val="Times New Roman"/>
      <family val="1"/>
    </font>
    <font>
      <i/>
      <sz val="12"/>
      <name val="Times New Roman"/>
      <family val="1"/>
      <charset val="163"/>
    </font>
    <font>
      <sz val="10"/>
      <color rgb="FFFF0000"/>
      <name val="Times New Roman"/>
      <family val="1"/>
    </font>
    <font>
      <b/>
      <i/>
      <sz val="12"/>
      <name val="Times New Roman"/>
      <family val="1"/>
    </font>
    <font>
      <b/>
      <i/>
      <sz val="12"/>
      <name val="Times New Roman"/>
      <family val="1"/>
      <charset val="163"/>
    </font>
    <font>
      <sz val="11"/>
      <color theme="1"/>
      <name val="Times New Roman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2"/>
      <scheme val="minor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63"/>
    </font>
  </fonts>
  <fills count="1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rgb="FFDAEEF3"/>
        <bgColor rgb="FFDAEEF3"/>
      </patternFill>
    </fill>
    <fill>
      <patternFill patternType="solid">
        <fgColor rgb="FFF2DBDB"/>
        <bgColor rgb="FFF2DBDB"/>
      </patternFill>
    </fill>
    <fill>
      <patternFill patternType="solid">
        <fgColor rgb="FFEAF1DD"/>
        <bgColor rgb="FFEAF1DD"/>
      </patternFill>
    </fill>
    <fill>
      <patternFill patternType="solid">
        <fgColor rgb="FFEAD1DC"/>
        <bgColor rgb="FFEAD1DC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7" fillId="0" borderId="22"/>
    <xf numFmtId="0" fontId="61" fillId="0" borderId="22"/>
  </cellStyleXfs>
  <cellXfs count="37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1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5" borderId="8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vertical="center" wrapText="1"/>
    </xf>
    <xf numFmtId="3" fontId="2" fillId="0" borderId="8" xfId="0" applyNumberFormat="1" applyFont="1" applyBorder="1" applyAlignment="1">
      <alignment vertical="center"/>
    </xf>
    <xf numFmtId="1" fontId="1" fillId="0" borderId="8" xfId="0" applyNumberFormat="1" applyFont="1" applyBorder="1" applyAlignment="1">
      <alignment vertical="center" wrapText="1"/>
    </xf>
    <xf numFmtId="1" fontId="1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1" fillId="10" borderId="8" xfId="0" applyFont="1" applyFill="1" applyBorder="1" applyAlignment="1">
      <alignment horizontal="center" vertical="center"/>
    </xf>
    <xf numFmtId="0" fontId="1" fillId="11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vertical="center" wrapText="1"/>
    </xf>
    <xf numFmtId="3" fontId="2" fillId="0" borderId="10" xfId="0" applyNumberFormat="1" applyFont="1" applyBorder="1" applyAlignment="1">
      <alignment vertical="center"/>
    </xf>
    <xf numFmtId="1" fontId="1" fillId="0" borderId="10" xfId="0" applyNumberFormat="1" applyFont="1" applyBorder="1" applyAlignment="1">
      <alignment vertical="center" wrapText="1"/>
    </xf>
    <xf numFmtId="1" fontId="1" fillId="0" borderId="10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3" fontId="2" fillId="0" borderId="12" xfId="0" applyNumberFormat="1" applyFont="1" applyBorder="1" applyAlignment="1">
      <alignment vertical="center" wrapText="1"/>
    </xf>
    <xf numFmtId="3" fontId="2" fillId="0" borderId="12" xfId="0" applyNumberFormat="1" applyFont="1" applyBorder="1" applyAlignment="1">
      <alignment vertical="center"/>
    </xf>
    <xf numFmtId="1" fontId="1" fillId="0" borderId="12" xfId="0" applyNumberFormat="1" applyFont="1" applyBorder="1" applyAlignment="1">
      <alignment vertical="center" wrapText="1"/>
    </xf>
    <xf numFmtId="1" fontId="1" fillId="0" borderId="12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3" fontId="2" fillId="0" borderId="10" xfId="0" applyNumberFormat="1" applyFont="1" applyBorder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 wrapText="1"/>
    </xf>
    <xf numFmtId="3" fontId="2" fillId="0" borderId="12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1" fontId="1" fillId="0" borderId="12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10" xfId="0" applyNumberFormat="1" applyFont="1" applyBorder="1" applyAlignment="1">
      <alignment vertical="center"/>
    </xf>
    <xf numFmtId="3" fontId="12" fillId="0" borderId="12" xfId="0" applyNumberFormat="1" applyFont="1" applyBorder="1" applyAlignment="1">
      <alignment vertical="center"/>
    </xf>
    <xf numFmtId="0" fontId="13" fillId="0" borderId="0" xfId="0" applyFont="1"/>
    <xf numFmtId="2" fontId="2" fillId="0" borderId="13" xfId="0" applyNumberFormat="1" applyFont="1" applyBorder="1" applyAlignment="1">
      <alignment horizontal="center" vertical="center" wrapText="1"/>
    </xf>
    <xf numFmtId="0" fontId="1" fillId="12" borderId="8" xfId="0" applyFont="1" applyFill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3" fontId="14" fillId="0" borderId="7" xfId="0" applyNumberFormat="1" applyFont="1" applyBorder="1" applyAlignment="1">
      <alignment horizontal="right"/>
    </xf>
    <xf numFmtId="3" fontId="14" fillId="0" borderId="14" xfId="0" applyNumberFormat="1" applyFont="1" applyBorder="1" applyAlignment="1">
      <alignment horizontal="right"/>
    </xf>
    <xf numFmtId="3" fontId="14" fillId="0" borderId="15" xfId="0" applyNumberFormat="1" applyFont="1" applyBorder="1" applyAlignment="1">
      <alignment horizontal="right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3" fontId="14" fillId="0" borderId="8" xfId="0" applyNumberFormat="1" applyFont="1" applyBorder="1" applyAlignment="1">
      <alignment horizontal="right"/>
    </xf>
    <xf numFmtId="3" fontId="14" fillId="0" borderId="10" xfId="0" applyNumberFormat="1" applyFont="1" applyBorder="1" applyAlignment="1">
      <alignment horizontal="right"/>
    </xf>
    <xf numFmtId="2" fontId="2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3" fontId="14" fillId="0" borderId="12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vertical="center"/>
    </xf>
    <xf numFmtId="3" fontId="2" fillId="0" borderId="17" xfId="0" applyNumberFormat="1" applyFont="1" applyBorder="1" applyAlignment="1">
      <alignment vertical="center"/>
    </xf>
    <xf numFmtId="3" fontId="15" fillId="0" borderId="8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vertical="center"/>
    </xf>
    <xf numFmtId="3" fontId="2" fillId="0" borderId="18" xfId="0" applyNumberFormat="1" applyFont="1" applyBorder="1" applyAlignment="1">
      <alignment vertical="center"/>
    </xf>
    <xf numFmtId="3" fontId="15" fillId="0" borderId="10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vertical="center"/>
    </xf>
    <xf numFmtId="3" fontId="2" fillId="0" borderId="19" xfId="0" applyNumberFormat="1" applyFont="1" applyBorder="1" applyAlignment="1">
      <alignment vertical="center"/>
    </xf>
    <xf numFmtId="3" fontId="15" fillId="0" borderId="12" xfId="0" applyNumberFormat="1" applyFont="1" applyBorder="1" applyAlignment="1">
      <alignment horizontal="right"/>
    </xf>
    <xf numFmtId="3" fontId="2" fillId="0" borderId="11" xfId="0" applyNumberFormat="1" applyFont="1" applyBorder="1" applyAlignment="1">
      <alignment vertical="center"/>
    </xf>
    <xf numFmtId="3" fontId="2" fillId="0" borderId="16" xfId="0" applyNumberFormat="1" applyFont="1" applyBorder="1" applyAlignment="1">
      <alignment vertical="center" wrapText="1"/>
    </xf>
    <xf numFmtId="165" fontId="2" fillId="0" borderId="8" xfId="0" applyNumberFormat="1" applyFont="1" applyBorder="1" applyAlignment="1">
      <alignment horizontal="center" vertical="center" wrapText="1"/>
    </xf>
    <xf numFmtId="165" fontId="1" fillId="0" borderId="8" xfId="0" applyNumberFormat="1" applyFont="1" applyBorder="1" applyAlignment="1">
      <alignment horizontal="center" vertical="center" wrapText="1"/>
    </xf>
    <xf numFmtId="165" fontId="2" fillId="0" borderId="10" xfId="0" applyNumberFormat="1" applyFont="1" applyBorder="1" applyAlignment="1">
      <alignment horizontal="center" vertical="center" wrapText="1"/>
    </xf>
    <xf numFmtId="165" fontId="1" fillId="0" borderId="10" xfId="0" applyNumberFormat="1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center" vertical="center" wrapText="1"/>
    </xf>
    <xf numFmtId="165" fontId="1" fillId="0" borderId="12" xfId="0" applyNumberFormat="1" applyFont="1" applyBorder="1" applyAlignment="1">
      <alignment horizontal="center" vertical="center" wrapText="1"/>
    </xf>
    <xf numFmtId="166" fontId="2" fillId="0" borderId="8" xfId="0" applyNumberFormat="1" applyFont="1" applyBorder="1" applyAlignment="1">
      <alignment horizontal="center" vertical="center" wrapText="1"/>
    </xf>
    <xf numFmtId="166" fontId="1" fillId="0" borderId="8" xfId="0" applyNumberFormat="1" applyFont="1" applyBorder="1" applyAlignment="1">
      <alignment horizontal="center" vertical="center" wrapText="1"/>
    </xf>
    <xf numFmtId="166" fontId="2" fillId="0" borderId="10" xfId="0" applyNumberFormat="1" applyFont="1" applyBorder="1" applyAlignment="1">
      <alignment horizontal="center" vertical="center" wrapText="1"/>
    </xf>
    <xf numFmtId="166" fontId="1" fillId="0" borderId="10" xfId="0" applyNumberFormat="1" applyFont="1" applyBorder="1" applyAlignment="1">
      <alignment horizontal="center" vertical="center" wrapText="1"/>
    </xf>
    <xf numFmtId="166" fontId="2" fillId="0" borderId="12" xfId="0" applyNumberFormat="1" applyFont="1" applyBorder="1" applyAlignment="1">
      <alignment horizontal="center" vertical="center" wrapText="1"/>
    </xf>
    <xf numFmtId="166" fontId="1" fillId="0" borderId="12" xfId="0" applyNumberFormat="1" applyFont="1" applyBorder="1" applyAlignment="1">
      <alignment horizontal="center" vertical="center" wrapText="1"/>
    </xf>
    <xf numFmtId="165" fontId="2" fillId="0" borderId="13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left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left" vertical="center" shrinkToFit="1"/>
    </xf>
    <xf numFmtId="0" fontId="1" fillId="0" borderId="16" xfId="0" applyFont="1" applyBorder="1" applyAlignment="1">
      <alignment horizontal="center" vertical="center" wrapText="1"/>
    </xf>
    <xf numFmtId="3" fontId="16" fillId="0" borderId="6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 wrapText="1"/>
    </xf>
    <xf numFmtId="3" fontId="16" fillId="0" borderId="6" xfId="0" applyNumberFormat="1" applyFont="1" applyBorder="1" applyAlignment="1">
      <alignment horizontal="right" vertical="center"/>
    </xf>
    <xf numFmtId="2" fontId="16" fillId="0" borderId="6" xfId="0" applyNumberFormat="1" applyFont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3" fontId="17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3" fontId="13" fillId="0" borderId="6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7" fontId="13" fillId="0" borderId="0" xfId="0" applyNumberFormat="1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3" fontId="22" fillId="0" borderId="6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 wrapText="1"/>
    </xf>
    <xf numFmtId="0" fontId="6" fillId="0" borderId="6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/>
    </xf>
    <xf numFmtId="2" fontId="1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wrapText="1"/>
    </xf>
    <xf numFmtId="0" fontId="26" fillId="0" borderId="6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164" fontId="26" fillId="0" borderId="15" xfId="0" applyNumberFormat="1" applyFont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9" fillId="0" borderId="22" xfId="0" applyFont="1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6" xfId="0" applyFont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right" vertical="center"/>
    </xf>
    <xf numFmtId="0" fontId="32" fillId="0" borderId="29" xfId="0" applyFont="1" applyBorder="1" applyAlignment="1">
      <alignment horizontal="right" vertical="center"/>
    </xf>
    <xf numFmtId="0" fontId="31" fillId="0" borderId="0" xfId="0" applyFont="1" applyAlignment="1">
      <alignment horizontal="center"/>
    </xf>
    <xf numFmtId="0" fontId="24" fillId="0" borderId="6" xfId="0" applyFont="1" applyBorder="1" applyAlignment="1">
      <alignment vertical="center"/>
    </xf>
    <xf numFmtId="3" fontId="7" fillId="0" borderId="27" xfId="0" applyNumberFormat="1" applyFont="1" applyBorder="1" applyAlignment="1">
      <alignment horizontal="center" vertical="center"/>
    </xf>
    <xf numFmtId="3" fontId="32" fillId="0" borderId="28" xfId="0" applyNumberFormat="1" applyFont="1" applyBorder="1" applyAlignment="1">
      <alignment horizontal="right" vertical="center"/>
    </xf>
    <xf numFmtId="3" fontId="32" fillId="0" borderId="29" xfId="0" applyNumberFormat="1" applyFont="1" applyBorder="1" applyAlignment="1">
      <alignment horizontal="right" vertical="center"/>
    </xf>
    <xf numFmtId="10" fontId="24" fillId="0" borderId="6" xfId="0" applyNumberFormat="1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3" fontId="16" fillId="0" borderId="27" xfId="0" applyNumberFormat="1" applyFont="1" applyBorder="1" applyAlignment="1">
      <alignment horizontal="center"/>
    </xf>
    <xf numFmtId="3" fontId="25" fillId="0" borderId="28" xfId="0" applyNumberFormat="1" applyFont="1" applyBorder="1" applyAlignment="1">
      <alignment horizontal="right"/>
    </xf>
    <xf numFmtId="3" fontId="25" fillId="0" borderId="29" xfId="0" applyNumberFormat="1" applyFont="1" applyBorder="1" applyAlignment="1">
      <alignment horizontal="right"/>
    </xf>
    <xf numFmtId="10" fontId="16" fillId="0" borderId="6" xfId="0" applyNumberFormat="1" applyFont="1" applyBorder="1" applyAlignment="1">
      <alignment horizontal="center"/>
    </xf>
    <xf numFmtId="0" fontId="33" fillId="0" borderId="0" xfId="0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21" fillId="0" borderId="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3" fontId="22" fillId="0" borderId="6" xfId="0" applyNumberFormat="1" applyFont="1" applyBorder="1" applyAlignment="1">
      <alignment horizontal="center" vertical="center" wrapText="1"/>
    </xf>
    <xf numFmtId="3" fontId="42" fillId="0" borderId="6" xfId="0" applyNumberFormat="1" applyFont="1" applyBorder="1" applyAlignment="1">
      <alignment horizontal="center" vertical="center"/>
    </xf>
    <xf numFmtId="3" fontId="42" fillId="0" borderId="6" xfId="0" applyNumberFormat="1" applyFont="1" applyBorder="1" applyAlignment="1">
      <alignment horizontal="center" vertical="center" wrapText="1"/>
    </xf>
    <xf numFmtId="3" fontId="42" fillId="0" borderId="6" xfId="0" applyNumberFormat="1" applyFont="1" applyBorder="1" applyAlignment="1">
      <alignment horizontal="right" vertical="center"/>
    </xf>
    <xf numFmtId="2" fontId="42" fillId="0" borderId="6" xfId="0" applyNumberFormat="1" applyFont="1" applyBorder="1" applyAlignment="1">
      <alignment horizontal="right" vertical="center" wrapText="1"/>
    </xf>
    <xf numFmtId="0" fontId="43" fillId="0" borderId="0" xfId="0" applyFont="1"/>
    <xf numFmtId="3" fontId="44" fillId="0" borderId="0" xfId="0" applyNumberFormat="1" applyFont="1" applyAlignment="1">
      <alignment horizontal="center" vertical="center"/>
    </xf>
    <xf numFmtId="3" fontId="44" fillId="0" borderId="0" xfId="0" applyNumberFormat="1" applyFont="1" applyAlignment="1">
      <alignment horizontal="center" vertical="center" wrapText="1"/>
    </xf>
    <xf numFmtId="0" fontId="45" fillId="0" borderId="0" xfId="0" applyFont="1"/>
    <xf numFmtId="0" fontId="9" fillId="0" borderId="1" xfId="0" applyFont="1" applyBorder="1" applyAlignment="1">
      <alignment horizontal="center" vertical="center" wrapText="1"/>
    </xf>
    <xf numFmtId="0" fontId="8" fillId="0" borderId="5" xfId="0" applyFont="1" applyBorder="1"/>
    <xf numFmtId="0" fontId="6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8" fillId="0" borderId="3" xfId="0" applyFont="1" applyBorder="1"/>
    <xf numFmtId="0" fontId="8" fillId="0" borderId="4" xfId="0" applyFont="1" applyBorder="1"/>
    <xf numFmtId="0" fontId="6" fillId="4" borderId="1" xfId="0" applyFont="1" applyFill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0" fontId="8" fillId="0" borderId="20" xfId="0" applyFont="1" applyBorder="1"/>
    <xf numFmtId="3" fontId="13" fillId="0" borderId="1" xfId="0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2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29" fillId="0" borderId="2" xfId="0" applyFont="1" applyBorder="1" applyAlignment="1">
      <alignment horizontal="center" vertical="center"/>
    </xf>
    <xf numFmtId="0" fontId="28" fillId="13" borderId="1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8" fillId="0" borderId="21" xfId="0" applyFont="1" applyBorder="1"/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 wrapText="1"/>
    </xf>
    <xf numFmtId="0" fontId="8" fillId="0" borderId="24" xfId="0" applyFont="1" applyBorder="1"/>
    <xf numFmtId="0" fontId="8" fillId="0" borderId="25" xfId="0" applyFont="1" applyBorder="1"/>
    <xf numFmtId="0" fontId="8" fillId="0" borderId="26" xfId="0" applyFont="1" applyBorder="1"/>
    <xf numFmtId="0" fontId="8" fillId="0" borderId="15" xfId="0" applyFont="1" applyBorder="1"/>
    <xf numFmtId="0" fontId="48" fillId="0" borderId="22" xfId="1" applyFont="1" applyAlignment="1">
      <alignment horizontal="right"/>
    </xf>
    <xf numFmtId="0" fontId="49" fillId="0" borderId="22" xfId="1" applyFont="1" applyAlignment="1">
      <alignment horizontal="center"/>
    </xf>
    <xf numFmtId="0" fontId="48" fillId="0" borderId="22" xfId="1" applyFont="1" applyAlignment="1">
      <alignment horizontal="center"/>
    </xf>
    <xf numFmtId="0" fontId="50" fillId="0" borderId="22" xfId="1" applyFont="1" applyAlignment="1">
      <alignment horizontal="center"/>
    </xf>
    <xf numFmtId="0" fontId="48" fillId="0" borderId="22" xfId="1" applyFont="1"/>
    <xf numFmtId="0" fontId="51" fillId="0" borderId="22" xfId="1" applyFont="1" applyAlignment="1">
      <alignment horizontal="right"/>
    </xf>
    <xf numFmtId="0" fontId="52" fillId="0" borderId="22" xfId="1" applyFont="1" applyAlignment="1">
      <alignment horizontal="right"/>
    </xf>
    <xf numFmtId="0" fontId="51" fillId="0" borderId="22" xfId="1" applyFont="1" applyAlignment="1">
      <alignment horizontal="center"/>
    </xf>
    <xf numFmtId="0" fontId="53" fillId="0" borderId="22" xfId="1" applyFont="1" applyAlignment="1">
      <alignment horizontal="centerContinuous"/>
    </xf>
    <xf numFmtId="0" fontId="49" fillId="0" borderId="22" xfId="1" applyFont="1" applyAlignment="1">
      <alignment horizontal="centerContinuous"/>
    </xf>
    <xf numFmtId="0" fontId="54" fillId="0" borderId="22" xfId="1" applyFont="1" applyAlignment="1">
      <alignment horizontal="centerContinuous"/>
    </xf>
    <xf numFmtId="0" fontId="55" fillId="0" borderId="22" xfId="1" applyFont="1" applyAlignment="1">
      <alignment horizontal="centerContinuous" vertical="top"/>
    </xf>
    <xf numFmtId="0" fontId="56" fillId="0" borderId="22" xfId="1" applyFont="1" applyAlignment="1">
      <alignment horizontal="centerContinuous" vertical="top"/>
    </xf>
    <xf numFmtId="0" fontId="57" fillId="0" borderId="22" xfId="1" applyFont="1" applyAlignment="1">
      <alignment horizontal="centerContinuous" vertical="top"/>
    </xf>
    <xf numFmtId="0" fontId="48" fillId="0" borderId="22" xfId="1" applyFont="1" applyAlignment="1">
      <alignment vertical="top"/>
    </xf>
    <xf numFmtId="0" fontId="49" fillId="14" borderId="30" xfId="1" applyFont="1" applyFill="1" applyBorder="1" applyAlignment="1">
      <alignment horizontal="center" vertical="center" wrapText="1"/>
    </xf>
    <xf numFmtId="0" fontId="49" fillId="14" borderId="31" xfId="1" applyFont="1" applyFill="1" applyBorder="1" applyAlignment="1">
      <alignment horizontal="center" vertical="center" wrapText="1"/>
    </xf>
    <xf numFmtId="0" fontId="54" fillId="14" borderId="30" xfId="1" applyFont="1" applyFill="1" applyBorder="1" applyAlignment="1">
      <alignment horizontal="center" vertical="center" wrapText="1"/>
    </xf>
    <xf numFmtId="0" fontId="54" fillId="14" borderId="31" xfId="1" applyFont="1" applyFill="1" applyBorder="1" applyAlignment="1">
      <alignment horizontal="center" vertical="center" wrapText="1"/>
    </xf>
    <xf numFmtId="0" fontId="50" fillId="0" borderId="22" xfId="1" applyFont="1" applyAlignment="1">
      <alignment vertical="center"/>
    </xf>
    <xf numFmtId="0" fontId="50" fillId="14" borderId="30" xfId="1" applyFont="1" applyFill="1" applyBorder="1" applyAlignment="1">
      <alignment horizontal="center" vertical="center" wrapText="1"/>
    </xf>
    <xf numFmtId="0" fontId="49" fillId="14" borderId="32" xfId="1" applyFont="1" applyFill="1" applyBorder="1" applyAlignment="1">
      <alignment horizontal="center" vertical="center" wrapText="1"/>
    </xf>
    <xf numFmtId="0" fontId="51" fillId="14" borderId="30" xfId="1" applyFont="1" applyFill="1" applyBorder="1" applyAlignment="1">
      <alignment horizontal="center" vertical="center" wrapText="1"/>
    </xf>
    <xf numFmtId="0" fontId="54" fillId="14" borderId="32" xfId="1" applyFont="1" applyFill="1" applyBorder="1" applyAlignment="1">
      <alignment horizontal="center" vertical="center" wrapText="1"/>
    </xf>
    <xf numFmtId="0" fontId="58" fillId="14" borderId="30" xfId="1" applyFont="1" applyFill="1" applyBorder="1" applyAlignment="1">
      <alignment horizontal="center" vertical="center" wrapText="1"/>
    </xf>
    <xf numFmtId="0" fontId="58" fillId="0" borderId="22" xfId="1" applyFont="1" applyAlignment="1">
      <alignment vertical="center"/>
    </xf>
    <xf numFmtId="0" fontId="49" fillId="0" borderId="30" xfId="1" applyFont="1" applyBorder="1" applyAlignment="1">
      <alignment horizontal="right" vertical="center"/>
    </xf>
    <xf numFmtId="0" fontId="49" fillId="0" borderId="30" xfId="1" applyFont="1" applyBorder="1" applyAlignment="1">
      <alignment vertical="center"/>
    </xf>
    <xf numFmtId="0" fontId="49" fillId="0" borderId="30" xfId="1" applyFont="1" applyBorder="1" applyAlignment="1">
      <alignment horizontal="center" vertical="center"/>
    </xf>
    <xf numFmtId="2" fontId="49" fillId="0" borderId="30" xfId="1" applyNumberFormat="1" applyFont="1" applyBorder="1" applyAlignment="1">
      <alignment horizontal="center" vertical="center"/>
    </xf>
    <xf numFmtId="0" fontId="54" fillId="0" borderId="30" xfId="1" applyFont="1" applyBorder="1" applyAlignment="1">
      <alignment horizontal="center" vertical="center"/>
    </xf>
    <xf numFmtId="0" fontId="49" fillId="0" borderId="22" xfId="1" applyFont="1" applyAlignment="1">
      <alignment vertical="center"/>
    </xf>
    <xf numFmtId="0" fontId="59" fillId="0" borderId="30" xfId="1" applyFont="1" applyBorder="1" applyAlignment="1">
      <alignment horizontal="right" vertical="center"/>
    </xf>
    <xf numFmtId="0" fontId="59" fillId="0" borderId="30" xfId="1" applyFont="1" applyBorder="1" applyAlignment="1">
      <alignment vertical="center"/>
    </xf>
    <xf numFmtId="0" fontId="59" fillId="0" borderId="30" xfId="1" applyFont="1" applyBorder="1" applyAlignment="1">
      <alignment horizontal="center" vertical="center"/>
    </xf>
    <xf numFmtId="2" fontId="59" fillId="0" borderId="30" xfId="1" applyNumberFormat="1" applyFont="1" applyBorder="1" applyAlignment="1">
      <alignment horizontal="center" vertical="center"/>
    </xf>
    <xf numFmtId="0" fontId="60" fillId="0" borderId="30" xfId="1" applyFont="1" applyBorder="1" applyAlignment="1">
      <alignment horizontal="center" vertical="center"/>
    </xf>
    <xf numFmtId="0" fontId="59" fillId="0" borderId="22" xfId="1" applyFont="1" applyAlignment="1">
      <alignment vertical="center"/>
    </xf>
    <xf numFmtId="0" fontId="50" fillId="0" borderId="30" xfId="1" applyFont="1" applyBorder="1" applyAlignment="1">
      <alignment horizontal="right" vertical="center" wrapText="1"/>
    </xf>
    <xf numFmtId="0" fontId="50" fillId="0" borderId="30" xfId="1" applyFont="1" applyBorder="1" applyAlignment="1">
      <alignment horizontal="justify" vertical="center" wrapText="1"/>
    </xf>
    <xf numFmtId="0" fontId="50" fillId="0" borderId="30" xfId="1" applyFont="1" applyBorder="1" applyAlignment="1">
      <alignment horizontal="center" vertical="center" wrapText="1"/>
    </xf>
    <xf numFmtId="2" fontId="50" fillId="0" borderId="30" xfId="1" applyNumberFormat="1" applyFont="1" applyBorder="1" applyAlignment="1">
      <alignment horizontal="center" vertical="center" wrapText="1"/>
    </xf>
    <xf numFmtId="0" fontId="50" fillId="0" borderId="30" xfId="1" applyFont="1" applyBorder="1" applyAlignment="1">
      <alignment horizontal="justify" vertical="center" wrapText="1"/>
    </xf>
    <xf numFmtId="0" fontId="50" fillId="0" borderId="30" xfId="1" applyFont="1" applyBorder="1" applyAlignment="1">
      <alignment horizontal="center" vertical="center" wrapText="1"/>
    </xf>
    <xf numFmtId="2" fontId="50" fillId="0" borderId="30" xfId="1" applyNumberFormat="1" applyFont="1" applyBorder="1" applyAlignment="1">
      <alignment horizontal="center" vertical="center" wrapText="1"/>
    </xf>
    <xf numFmtId="0" fontId="51" fillId="0" borderId="30" xfId="1" applyFont="1" applyBorder="1" applyAlignment="1">
      <alignment horizontal="center" vertical="center" wrapText="1"/>
    </xf>
    <xf numFmtId="0" fontId="51" fillId="0" borderId="31" xfId="1" applyFont="1" applyBorder="1" applyAlignment="1">
      <alignment horizontal="center" vertical="center" wrapText="1"/>
    </xf>
    <xf numFmtId="0" fontId="51" fillId="0" borderId="32" xfId="1" applyFont="1" applyBorder="1" applyAlignment="1">
      <alignment horizontal="center" vertical="center" wrapText="1"/>
    </xf>
    <xf numFmtId="0" fontId="51" fillId="0" borderId="33" xfId="1" applyFont="1" applyBorder="1" applyAlignment="1">
      <alignment horizontal="center" vertical="center" wrapText="1"/>
    </xf>
    <xf numFmtId="0" fontId="54" fillId="0" borderId="30" xfId="1" applyFont="1" applyBorder="1" applyAlignment="1">
      <alignment horizontal="center" vertical="center" wrapText="1"/>
    </xf>
    <xf numFmtId="0" fontId="50" fillId="0" borderId="30" xfId="1" applyFont="1" applyBorder="1" applyAlignment="1">
      <alignment vertical="center" wrapText="1"/>
    </xf>
    <xf numFmtId="0" fontId="50" fillId="0" borderId="22" xfId="1" applyFont="1" applyAlignment="1">
      <alignment horizontal="right" vertical="center" wrapText="1"/>
    </xf>
    <xf numFmtId="0" fontId="50" fillId="0" borderId="22" xfId="1" applyFont="1" applyAlignment="1">
      <alignment horizontal="left" vertical="center" wrapText="1"/>
    </xf>
    <xf numFmtId="0" fontId="50" fillId="0" borderId="22" xfId="1" applyFont="1" applyAlignment="1">
      <alignment horizontal="center" vertical="center" wrapText="1"/>
    </xf>
    <xf numFmtId="2" fontId="50" fillId="0" borderId="22" xfId="1" applyNumberFormat="1" applyFont="1" applyAlignment="1">
      <alignment horizontal="center" vertical="center" wrapText="1"/>
    </xf>
    <xf numFmtId="0" fontId="50" fillId="0" borderId="22" xfId="1" applyFont="1" applyAlignment="1">
      <alignment horizontal="justify" vertical="center" wrapText="1"/>
    </xf>
    <xf numFmtId="0" fontId="51" fillId="0" borderId="22" xfId="1" applyFont="1" applyAlignment="1">
      <alignment horizontal="center" vertical="center" wrapText="1"/>
    </xf>
    <xf numFmtId="0" fontId="49" fillId="0" borderId="22" xfId="1" applyFont="1" applyAlignment="1">
      <alignment horizontal="left"/>
    </xf>
    <xf numFmtId="0" fontId="53" fillId="0" borderId="22" xfId="1" applyFont="1" applyAlignment="1">
      <alignment horizontal="center"/>
    </xf>
    <xf numFmtId="0" fontId="53" fillId="0" borderId="22" xfId="1" applyFont="1" applyAlignment="1">
      <alignment horizontal="center"/>
    </xf>
    <xf numFmtId="0" fontId="54" fillId="0" borderId="22" xfId="1" applyFont="1" applyAlignment="1">
      <alignment horizontal="center"/>
    </xf>
    <xf numFmtId="0" fontId="55" fillId="0" borderId="22" xfId="1" applyFont="1" applyAlignment="1">
      <alignment horizontal="center" vertical="top"/>
    </xf>
    <xf numFmtId="0" fontId="56" fillId="0" borderId="22" xfId="1" applyFont="1" applyAlignment="1">
      <alignment horizontal="center" vertical="top"/>
    </xf>
    <xf numFmtId="0" fontId="55" fillId="0" borderId="22" xfId="1" applyFont="1" applyAlignment="1">
      <alignment horizontal="center" vertical="top"/>
    </xf>
    <xf numFmtId="0" fontId="57" fillId="0" borderId="22" xfId="1" applyFont="1" applyAlignment="1">
      <alignment horizontal="center" vertical="top"/>
    </xf>
    <xf numFmtId="0" fontId="62" fillId="14" borderId="30" xfId="2" applyFont="1" applyFill="1" applyBorder="1" applyAlignment="1">
      <alignment horizontal="center" vertical="center" wrapText="1"/>
    </xf>
    <xf numFmtId="0" fontId="63" fillId="0" borderId="22" xfId="2" applyFont="1"/>
    <xf numFmtId="0" fontId="58" fillId="14" borderId="30" xfId="2" applyFont="1" applyFill="1" applyBorder="1" applyAlignment="1">
      <alignment horizontal="center" vertical="center" wrapText="1"/>
    </xf>
    <xf numFmtId="0" fontId="62" fillId="0" borderId="30" xfId="2" applyFont="1" applyBorder="1" applyAlignment="1">
      <alignment horizontal="left"/>
    </xf>
    <xf numFmtId="0" fontId="62" fillId="0" borderId="30" xfId="2" applyFont="1" applyBorder="1" applyAlignment="1">
      <alignment wrapText="1"/>
    </xf>
    <xf numFmtId="0" fontId="62" fillId="0" borderId="30" xfId="2" applyFont="1" applyBorder="1" applyAlignment="1">
      <alignment horizontal="center" wrapText="1"/>
    </xf>
    <xf numFmtId="0" fontId="62" fillId="0" borderId="30" xfId="2" applyFont="1" applyBorder="1" applyAlignment="1">
      <alignment horizontal="justify" wrapText="1"/>
    </xf>
    <xf numFmtId="0" fontId="62" fillId="0" borderId="34" xfId="2" applyFont="1" applyBorder="1" applyAlignment="1">
      <alignment horizontal="left" vertical="center"/>
    </xf>
    <xf numFmtId="0" fontId="62" fillId="0" borderId="35" xfId="2" applyFont="1" applyBorder="1" applyAlignment="1">
      <alignment horizontal="left" vertical="center"/>
    </xf>
    <xf numFmtId="0" fontId="62" fillId="0" borderId="30" xfId="2" applyFont="1" applyBorder="1" applyAlignment="1">
      <alignment horizontal="left" vertical="center"/>
    </xf>
    <xf numFmtId="0" fontId="63" fillId="0" borderId="30" xfId="2" applyFont="1" applyBorder="1" applyAlignment="1">
      <alignment horizontal="left" vertical="center"/>
    </xf>
    <xf numFmtId="0" fontId="63" fillId="0" borderId="22" xfId="2" applyFont="1" applyAlignment="1">
      <alignment horizontal="left" vertical="center"/>
    </xf>
    <xf numFmtId="0" fontId="64" fillId="0" borderId="30" xfId="2" applyFont="1" applyBorder="1" applyAlignment="1">
      <alignment horizontal="center" vertical="center"/>
    </xf>
    <xf numFmtId="0" fontId="64" fillId="0" borderId="30" xfId="2" applyFont="1" applyBorder="1" applyAlignment="1">
      <alignment horizontal="left" vertical="center" wrapText="1"/>
    </xf>
    <xf numFmtId="0" fontId="64" fillId="0" borderId="30" xfId="2" applyFont="1" applyBorder="1" applyAlignment="1">
      <alignment horizontal="center" vertical="center" wrapText="1"/>
    </xf>
    <xf numFmtId="0" fontId="64" fillId="0" borderId="30" xfId="2" applyFont="1" applyBorder="1" applyAlignment="1">
      <alignment horizontal="justify" vertical="center" wrapText="1"/>
    </xf>
    <xf numFmtId="0" fontId="63" fillId="0" borderId="22" xfId="2" applyFont="1" applyAlignment="1">
      <alignment vertical="center"/>
    </xf>
    <xf numFmtId="0" fontId="65" fillId="0" borderId="30" xfId="2" applyFont="1" applyBorder="1" applyAlignment="1">
      <alignment horizontal="center" vertical="center" wrapText="1"/>
    </xf>
    <xf numFmtId="0" fontId="65" fillId="0" borderId="30" xfId="2" applyFont="1" applyBorder="1" applyAlignment="1">
      <alignment horizontal="justify" vertical="center" wrapText="1"/>
    </xf>
    <xf numFmtId="0" fontId="62" fillId="0" borderId="30" xfId="2" applyFont="1" applyBorder="1" applyAlignment="1">
      <alignment horizontal="center" vertical="center"/>
    </xf>
    <xf numFmtId="0" fontId="62" fillId="0" borderId="30" xfId="2" applyFont="1" applyBorder="1" applyAlignment="1">
      <alignment horizontal="center" vertical="center" wrapText="1"/>
    </xf>
    <xf numFmtId="0" fontId="63" fillId="0" borderId="22" xfId="2" applyFont="1" applyAlignment="1">
      <alignment horizontal="center" vertical="center"/>
    </xf>
    <xf numFmtId="0" fontId="61" fillId="0" borderId="22" xfId="2" applyAlignment="1">
      <alignment horizontal="center"/>
    </xf>
    <xf numFmtId="0" fontId="61" fillId="0" borderId="22" xfId="2"/>
  </cellXfs>
  <cellStyles count="3">
    <cellStyle name="Normal" xfId="0" builtinId="0"/>
    <cellStyle name="Normal 2" xfId="1" xr:uid="{99FCACA1-1762-4CEA-B6EA-7BF73248881A}"/>
    <cellStyle name="Normal 3" xfId="2" xr:uid="{36BF408B-0DFF-4F49-8DFD-BB719D35591F}"/>
  </cellStyles>
  <dxfs count="5"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numFmt numFmtId="164" formatCode="0.0"/>
      <fill>
        <patternFill patternType="none"/>
      </fill>
    </dxf>
    <dxf>
      <numFmt numFmtId="164" formatCode="0.0"/>
      <fill>
        <patternFill patternType="none"/>
      </fill>
    </dxf>
    <dxf>
      <numFmt numFmtId="164" formatCode="0.0"/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441960</xdr:colOff>
      <xdr:row>1</xdr:row>
      <xdr:rowOff>190500</xdr:rowOff>
    </xdr:from>
    <xdr:to>
      <xdr:col>1</xdr:col>
      <xdr:colOff>1066800</xdr:colOff>
      <xdr:row>1</xdr:row>
      <xdr:rowOff>190500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55A3CF3E-77F0-443F-9AE4-57C2F2114DD4}"/>
            </a:ext>
          </a:extLst>
        </xdr:cNvPr>
        <xdr:cNvCxnSpPr/>
      </xdr:nvCxnSpPr>
      <xdr:spPr>
        <a:xfrm>
          <a:off x="870585" y="390525"/>
          <a:ext cx="6248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363518</xdr:colOff>
      <xdr:row>1</xdr:row>
      <xdr:rowOff>190500</xdr:rowOff>
    </xdr:from>
    <xdr:to>
      <xdr:col>1</xdr:col>
      <xdr:colOff>268940</xdr:colOff>
      <xdr:row>1</xdr:row>
      <xdr:rowOff>190500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DF2C01A2-1F53-4CBB-86D9-4521778A1E4B}"/>
            </a:ext>
          </a:extLst>
        </xdr:cNvPr>
        <xdr:cNvCxnSpPr/>
      </xdr:nvCxnSpPr>
      <xdr:spPr>
        <a:xfrm>
          <a:off x="363518" y="390525"/>
          <a:ext cx="50549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781050</xdr:colOff>
      <xdr:row>1</xdr:row>
      <xdr:rowOff>0</xdr:rowOff>
    </xdr:from>
    <xdr:ext cx="476250" cy="19050"/>
    <xdr:grpSp>
      <xdr:nvGrpSpPr>
        <xdr:cNvPr id="2" name="Shape 2" title="Drawi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781050" y="447675"/>
          <a:ext cx="476250" cy="19050"/>
          <a:chOff x="330225" y="510375"/>
          <a:chExt cx="460200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CxnSpPr/>
        </xdr:nvCxnSpPr>
        <xdr:spPr>
          <a:xfrm>
            <a:off x="330225" y="510375"/>
            <a:ext cx="46020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438150</xdr:colOff>
      <xdr:row>1</xdr:row>
      <xdr:rowOff>171450</xdr:rowOff>
    </xdr:from>
    <xdr:ext cx="619125" cy="38100"/>
    <xdr:grpSp>
      <xdr:nvGrpSpPr>
        <xdr:cNvPr id="4" name="Shap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pSpPr/>
      </xdr:nvGrpSpPr>
      <xdr:grpSpPr>
        <a:xfrm>
          <a:off x="866775" y="371475"/>
          <a:ext cx="619125" cy="38100"/>
          <a:chOff x="5036438" y="3780000"/>
          <a:chExt cx="619125" cy="0"/>
        </a:xfrm>
      </xdr:grpSpPr>
      <xdr:cxnSp macro="">
        <xdr:nvCxnSpPr>
          <xdr:cNvPr id="6" name="Shape 6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CxnSpPr/>
        </xdr:nvCxnSpPr>
        <xdr:spPr>
          <a:xfrm>
            <a:off x="5036438" y="3780000"/>
            <a:ext cx="619125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0</xdr:col>
      <xdr:colOff>438150</xdr:colOff>
      <xdr:row>1</xdr:row>
      <xdr:rowOff>171450</xdr:rowOff>
    </xdr:from>
    <xdr:ext cx="619125" cy="38100"/>
    <xdr:grpSp>
      <xdr:nvGrpSpPr>
        <xdr:cNvPr id="2" name="Shap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428625" y="371475"/>
          <a:ext cx="619125" cy="38100"/>
          <a:chOff x="5036438" y="3780000"/>
          <a:chExt cx="619125" cy="0"/>
        </a:xfrm>
      </xdr:grpSpPr>
      <xdr:cxnSp macro="">
        <xdr:nvCxnSpPr>
          <xdr:cNvPr id="3" name="Shape 6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CxnSpPr/>
        </xdr:nvCxnSpPr>
        <xdr:spPr>
          <a:xfrm>
            <a:off x="5036438" y="3780000"/>
            <a:ext cx="619125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209550</xdr:colOff>
      <xdr:row>1</xdr:row>
      <xdr:rowOff>209550</xdr:rowOff>
    </xdr:from>
    <xdr:ext cx="466725" cy="38100"/>
    <xdr:grpSp>
      <xdr:nvGrpSpPr>
        <xdr:cNvPr id="4" name="Shape 4" title="Drawi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pSpPr/>
      </xdr:nvGrpSpPr>
      <xdr:grpSpPr>
        <a:xfrm>
          <a:off x="561242" y="451338"/>
          <a:ext cx="466725" cy="38100"/>
          <a:chOff x="5112638" y="3780000"/>
          <a:chExt cx="466725" cy="0"/>
        </a:xfrm>
      </xdr:grpSpPr>
      <xdr:cxnSp macro="">
        <xdr:nvCxnSpPr>
          <xdr:cNvPr id="8" name="Shape 8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CxnSpPr/>
        </xdr:nvCxnSpPr>
        <xdr:spPr>
          <a:xfrm>
            <a:off x="5112638" y="3780000"/>
            <a:ext cx="466725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2C4EB-4AB8-41BA-9A6C-D39AEE46DB2B}">
  <sheetPr>
    <pageSetUpPr fitToPage="1"/>
  </sheetPr>
  <dimension ref="A1:Q28"/>
  <sheetViews>
    <sheetView view="pageBreakPreview" zoomScaleNormal="115" zoomScaleSheetLayoutView="100" workbookViewId="0">
      <pane xSplit="3" ySplit="7" topLeftCell="D14" activePane="bottomRight" state="frozen"/>
      <selection activeCell="Q1" sqref="Q1"/>
      <selection pane="topRight" activeCell="Q1" sqref="Q1"/>
      <selection pane="bottomLeft" activeCell="Q1" sqref="Q1"/>
      <selection pane="bottomRight" activeCell="Q1" sqref="Q1"/>
    </sheetView>
  </sheetViews>
  <sheetFormatPr defaultColWidth="9" defaultRowHeight="15.75"/>
  <cols>
    <col min="1" max="1" width="5.625" style="282" bestFit="1" customWidth="1"/>
    <col min="2" max="2" width="19.375" style="286" customWidth="1"/>
    <col min="3" max="3" width="5.875" style="284" customWidth="1"/>
    <col min="4" max="6" width="5.875" style="285" customWidth="1"/>
    <col min="7" max="7" width="10.875" style="285" customWidth="1"/>
    <col min="8" max="8" width="12.625" style="285" customWidth="1"/>
    <col min="9" max="9" width="7.5" style="285" customWidth="1"/>
    <col min="10" max="10" width="16" style="286" customWidth="1"/>
    <col min="11" max="11" width="16.875" style="284" customWidth="1"/>
    <col min="12" max="14" width="6.25" style="284" customWidth="1"/>
    <col min="15" max="15" width="9.875" style="289" customWidth="1"/>
    <col min="16" max="16" width="8.5" style="289" customWidth="1"/>
    <col min="17" max="17" width="7.875" style="284" customWidth="1"/>
    <col min="18" max="16384" width="9" style="286"/>
  </cols>
  <sheetData>
    <row r="1" spans="1:17">
      <c r="B1" s="283" t="s">
        <v>1418</v>
      </c>
      <c r="O1" s="287"/>
      <c r="P1" s="287"/>
      <c r="Q1" s="288"/>
    </row>
    <row r="2" spans="1:17">
      <c r="B2" s="283" t="s">
        <v>1419</v>
      </c>
    </row>
    <row r="3" spans="1:17" ht="25.9" customHeight="1">
      <c r="A3" s="290" t="s">
        <v>1420</v>
      </c>
      <c r="B3" s="290"/>
      <c r="C3" s="290"/>
      <c r="D3" s="291"/>
      <c r="E3" s="291"/>
      <c r="F3" s="291"/>
      <c r="G3" s="291"/>
      <c r="H3" s="291"/>
      <c r="I3" s="291"/>
      <c r="J3" s="290"/>
      <c r="K3" s="290"/>
      <c r="L3" s="290"/>
      <c r="M3" s="290"/>
      <c r="N3" s="290"/>
      <c r="O3" s="292"/>
      <c r="P3" s="292"/>
      <c r="Q3" s="290"/>
    </row>
    <row r="4" spans="1:17" s="296" customFormat="1" ht="22.15" customHeight="1">
      <c r="A4" s="293" t="s">
        <v>1421</v>
      </c>
      <c r="B4" s="293"/>
      <c r="C4" s="293"/>
      <c r="D4" s="294"/>
      <c r="E4" s="294"/>
      <c r="F4" s="294"/>
      <c r="G4" s="294"/>
      <c r="H4" s="294"/>
      <c r="I4" s="294"/>
      <c r="J4" s="293"/>
      <c r="K4" s="293"/>
      <c r="L4" s="293"/>
      <c r="M4" s="293"/>
      <c r="N4" s="293"/>
      <c r="O4" s="295"/>
      <c r="P4" s="295"/>
      <c r="Q4" s="293"/>
    </row>
    <row r="5" spans="1:17" s="301" customFormat="1" ht="46.9" customHeight="1">
      <c r="A5" s="297" t="s">
        <v>1337</v>
      </c>
      <c r="B5" s="297" t="s">
        <v>1344</v>
      </c>
      <c r="C5" s="297"/>
      <c r="D5" s="297" t="s">
        <v>1422</v>
      </c>
      <c r="E5" s="297"/>
      <c r="F5" s="298" t="s">
        <v>1346</v>
      </c>
      <c r="G5" s="298" t="s">
        <v>1347</v>
      </c>
      <c r="H5" s="298" t="s">
        <v>1348</v>
      </c>
      <c r="I5" s="298" t="s">
        <v>1349</v>
      </c>
      <c r="J5" s="297" t="s">
        <v>1350</v>
      </c>
      <c r="K5" s="297" t="s">
        <v>1351</v>
      </c>
      <c r="L5" s="297"/>
      <c r="M5" s="299" t="s">
        <v>1422</v>
      </c>
      <c r="N5" s="299"/>
      <c r="O5" s="299" t="s">
        <v>1352</v>
      </c>
      <c r="P5" s="300" t="s">
        <v>16</v>
      </c>
      <c r="Q5" s="297" t="s">
        <v>17</v>
      </c>
    </row>
    <row r="6" spans="1:17" s="301" customFormat="1" ht="31.5">
      <c r="A6" s="297"/>
      <c r="B6" s="302" t="s">
        <v>1353</v>
      </c>
      <c r="C6" s="302" t="s">
        <v>1354</v>
      </c>
      <c r="D6" s="302" t="s">
        <v>1304</v>
      </c>
      <c r="E6" s="302" t="s">
        <v>1355</v>
      </c>
      <c r="F6" s="303"/>
      <c r="G6" s="303"/>
      <c r="H6" s="303"/>
      <c r="I6" s="303"/>
      <c r="J6" s="297"/>
      <c r="K6" s="302" t="s">
        <v>1423</v>
      </c>
      <c r="L6" s="302" t="s">
        <v>1354</v>
      </c>
      <c r="M6" s="304" t="s">
        <v>1304</v>
      </c>
      <c r="N6" s="304" t="s">
        <v>1355</v>
      </c>
      <c r="O6" s="299"/>
      <c r="P6" s="305"/>
      <c r="Q6" s="297"/>
    </row>
    <row r="7" spans="1:17" s="307" customFormat="1" ht="12.75">
      <c r="A7" s="306">
        <v>1</v>
      </c>
      <c r="B7" s="306">
        <v>2</v>
      </c>
      <c r="C7" s="306">
        <v>3</v>
      </c>
      <c r="D7" s="306">
        <v>4</v>
      </c>
      <c r="E7" s="306">
        <v>5</v>
      </c>
      <c r="F7" s="306">
        <v>6</v>
      </c>
      <c r="G7" s="306">
        <v>7</v>
      </c>
      <c r="H7" s="306">
        <v>8</v>
      </c>
      <c r="I7" s="306">
        <v>9</v>
      </c>
      <c r="J7" s="306">
        <v>10</v>
      </c>
      <c r="K7" s="306">
        <v>11</v>
      </c>
      <c r="L7" s="306">
        <v>12</v>
      </c>
      <c r="M7" s="306">
        <v>13</v>
      </c>
      <c r="N7" s="306">
        <v>14</v>
      </c>
      <c r="O7" s="306">
        <v>15</v>
      </c>
      <c r="P7" s="306">
        <v>16</v>
      </c>
      <c r="Q7" s="306">
        <v>17</v>
      </c>
    </row>
    <row r="8" spans="1:17" s="313" customFormat="1" ht="18.600000000000001" customHeight="1">
      <c r="A8" s="308"/>
      <c r="B8" s="309" t="s">
        <v>1424</v>
      </c>
      <c r="C8" s="310"/>
      <c r="D8" s="310"/>
      <c r="E8" s="310"/>
      <c r="F8" s="310"/>
      <c r="G8" s="310"/>
      <c r="H8" s="310"/>
      <c r="I8" s="310"/>
      <c r="J8" s="309"/>
      <c r="K8" s="310"/>
      <c r="L8" s="310"/>
      <c r="M8" s="310"/>
      <c r="N8" s="311"/>
      <c r="O8" s="312"/>
      <c r="P8" s="312"/>
      <c r="Q8" s="310"/>
    </row>
    <row r="9" spans="1:17" s="319" customFormat="1">
      <c r="A9" s="314"/>
      <c r="B9" s="315" t="s">
        <v>1425</v>
      </c>
      <c r="C9" s="316"/>
      <c r="D9" s="316"/>
      <c r="E9" s="316"/>
      <c r="F9" s="316"/>
      <c r="G9" s="316"/>
      <c r="H9" s="316"/>
      <c r="I9" s="316"/>
      <c r="J9" s="315"/>
      <c r="K9" s="316"/>
      <c r="L9" s="316"/>
      <c r="M9" s="316"/>
      <c r="N9" s="317"/>
      <c r="O9" s="318"/>
      <c r="P9" s="318"/>
      <c r="Q9" s="316"/>
    </row>
    <row r="10" spans="1:17" s="301" customFormat="1" ht="31.5">
      <c r="A10" s="320">
        <f>SUBTOTAL(3,$C$10:C10)</f>
        <v>1</v>
      </c>
      <c r="B10" s="321" t="s">
        <v>1426</v>
      </c>
      <c r="C10" s="322">
        <v>77</v>
      </c>
      <c r="D10" s="322">
        <v>5</v>
      </c>
      <c r="E10" s="323">
        <f>D10/C10*100</f>
        <v>6.4935064935064926</v>
      </c>
      <c r="F10" s="322">
        <v>100</v>
      </c>
      <c r="G10" s="322" t="s">
        <v>1359</v>
      </c>
      <c r="H10" s="322" t="s">
        <v>1427</v>
      </c>
      <c r="I10" s="322"/>
      <c r="J10" s="324" t="s">
        <v>1428</v>
      </c>
      <c r="K10" s="325" t="s">
        <v>1429</v>
      </c>
      <c r="L10" s="325">
        <f>C10+C11</f>
        <v>141</v>
      </c>
      <c r="M10" s="325">
        <f>D10+D11</f>
        <v>6</v>
      </c>
      <c r="N10" s="326">
        <f>M10/L10*100</f>
        <v>4.2553191489361701</v>
      </c>
      <c r="O10" s="327">
        <v>0.5</v>
      </c>
      <c r="P10" s="328" t="s">
        <v>1430</v>
      </c>
      <c r="Q10" s="325"/>
    </row>
    <row r="11" spans="1:17" s="301" customFormat="1" ht="31.5">
      <c r="A11" s="320">
        <f>SUBTOTAL(3,$C$10:C11)</f>
        <v>2</v>
      </c>
      <c r="B11" s="321" t="s">
        <v>369</v>
      </c>
      <c r="C11" s="322">
        <v>64</v>
      </c>
      <c r="D11" s="322">
        <v>1</v>
      </c>
      <c r="E11" s="323">
        <f t="shared" ref="E11:E26" si="0">D11/C11*100</f>
        <v>1.5625</v>
      </c>
      <c r="F11" s="322">
        <v>100</v>
      </c>
      <c r="G11" s="322" t="s">
        <v>1431</v>
      </c>
      <c r="H11" s="322" t="s">
        <v>1432</v>
      </c>
      <c r="I11" s="322"/>
      <c r="J11" s="324"/>
      <c r="K11" s="325"/>
      <c r="L11" s="325"/>
      <c r="M11" s="325"/>
      <c r="N11" s="326"/>
      <c r="O11" s="327"/>
      <c r="P11" s="329"/>
      <c r="Q11" s="325"/>
    </row>
    <row r="12" spans="1:17" s="301" customFormat="1">
      <c r="A12" s="320">
        <f>SUBTOTAL(3,$C$10:C12)</f>
        <v>3</v>
      </c>
      <c r="B12" s="321" t="s">
        <v>1433</v>
      </c>
      <c r="C12" s="322">
        <v>50</v>
      </c>
      <c r="D12" s="322">
        <v>1</v>
      </c>
      <c r="E12" s="323">
        <f t="shared" si="0"/>
        <v>2</v>
      </c>
      <c r="F12" s="322">
        <v>100</v>
      </c>
      <c r="G12" s="322" t="s">
        <v>1434</v>
      </c>
      <c r="H12" s="322" t="s">
        <v>1434</v>
      </c>
      <c r="I12" s="322"/>
      <c r="J12" s="324" t="s">
        <v>1435</v>
      </c>
      <c r="K12" s="325" t="s">
        <v>1429</v>
      </c>
      <c r="L12" s="325">
        <f>C12+C13</f>
        <v>101</v>
      </c>
      <c r="M12" s="325">
        <f>D12+D13</f>
        <v>3</v>
      </c>
      <c r="N12" s="326">
        <f>M12/L12*100</f>
        <v>2.9702970297029703</v>
      </c>
      <c r="O12" s="327">
        <v>0.5</v>
      </c>
      <c r="P12" s="328" t="s">
        <v>1430</v>
      </c>
      <c r="Q12" s="325"/>
    </row>
    <row r="13" spans="1:17" s="301" customFormat="1">
      <c r="A13" s="320">
        <f>SUBTOTAL(3,$C$10:C13)</f>
        <v>4</v>
      </c>
      <c r="B13" s="321" t="s">
        <v>1436</v>
      </c>
      <c r="C13" s="322">
        <v>51</v>
      </c>
      <c r="D13" s="322">
        <v>2</v>
      </c>
      <c r="E13" s="323">
        <f t="shared" si="0"/>
        <v>3.9215686274509802</v>
      </c>
      <c r="F13" s="322">
        <v>100</v>
      </c>
      <c r="G13" s="322" t="s">
        <v>1434</v>
      </c>
      <c r="H13" s="322" t="s">
        <v>1434</v>
      </c>
      <c r="I13" s="322"/>
      <c r="J13" s="324"/>
      <c r="K13" s="325"/>
      <c r="L13" s="325"/>
      <c r="M13" s="325"/>
      <c r="N13" s="326"/>
      <c r="O13" s="327"/>
      <c r="P13" s="329"/>
      <c r="Q13" s="325"/>
    </row>
    <row r="14" spans="1:17" s="319" customFormat="1">
      <c r="A14" s="320"/>
      <c r="B14" s="315" t="s">
        <v>1437</v>
      </c>
      <c r="C14" s="316"/>
      <c r="D14" s="316"/>
      <c r="E14" s="323"/>
      <c r="F14" s="316"/>
      <c r="G14" s="316"/>
      <c r="H14" s="316"/>
      <c r="I14" s="316"/>
      <c r="J14" s="315"/>
      <c r="K14" s="316"/>
      <c r="L14" s="316"/>
      <c r="M14" s="316"/>
      <c r="N14" s="317"/>
      <c r="O14" s="318"/>
      <c r="P14" s="318"/>
      <c r="Q14" s="316"/>
    </row>
    <row r="15" spans="1:17" s="301" customFormat="1" ht="21" customHeight="1">
      <c r="A15" s="320">
        <f>SUBTOTAL(3,$C$10:C15)</f>
        <v>5</v>
      </c>
      <c r="B15" s="321" t="s">
        <v>1426</v>
      </c>
      <c r="C15" s="322">
        <v>31</v>
      </c>
      <c r="D15" s="322">
        <v>1</v>
      </c>
      <c r="E15" s="323">
        <f t="shared" si="0"/>
        <v>3.225806451612903</v>
      </c>
      <c r="F15" s="322">
        <v>100</v>
      </c>
      <c r="G15" s="322" t="s">
        <v>1434</v>
      </c>
      <c r="H15" s="322" t="s">
        <v>1438</v>
      </c>
      <c r="I15" s="322"/>
      <c r="J15" s="324" t="s">
        <v>1428</v>
      </c>
      <c r="K15" s="325" t="s">
        <v>1429</v>
      </c>
      <c r="L15" s="325">
        <f>C15+C16</f>
        <v>69</v>
      </c>
      <c r="M15" s="325">
        <f>D15+D16</f>
        <v>2</v>
      </c>
      <c r="N15" s="326">
        <f>M15/L15*100</f>
        <v>2.8985507246376812</v>
      </c>
      <c r="O15" s="327">
        <v>1.5</v>
      </c>
      <c r="P15" s="328" t="s">
        <v>1430</v>
      </c>
      <c r="Q15" s="325"/>
    </row>
    <row r="16" spans="1:17" s="301" customFormat="1">
      <c r="A16" s="320">
        <f>SUBTOTAL(3,$C$10:C16)</f>
        <v>6</v>
      </c>
      <c r="B16" s="321" t="s">
        <v>369</v>
      </c>
      <c r="C16" s="322">
        <v>38</v>
      </c>
      <c r="D16" s="322">
        <v>1</v>
      </c>
      <c r="E16" s="323">
        <f t="shared" si="0"/>
        <v>2.6315789473684208</v>
      </c>
      <c r="F16" s="322">
        <v>100</v>
      </c>
      <c r="G16" s="322" t="s">
        <v>1434</v>
      </c>
      <c r="H16" s="322" t="s">
        <v>1439</v>
      </c>
      <c r="I16" s="322"/>
      <c r="J16" s="324"/>
      <c r="K16" s="325"/>
      <c r="L16" s="325"/>
      <c r="M16" s="325"/>
      <c r="N16" s="326"/>
      <c r="O16" s="327"/>
      <c r="P16" s="329"/>
      <c r="Q16" s="325"/>
    </row>
    <row r="17" spans="1:17" s="313" customFormat="1" ht="18.600000000000001" customHeight="1">
      <c r="A17" s="320"/>
      <c r="B17" s="309" t="s">
        <v>1440</v>
      </c>
      <c r="C17" s="310"/>
      <c r="D17" s="310"/>
      <c r="E17" s="323"/>
      <c r="F17" s="310"/>
      <c r="G17" s="310"/>
      <c r="H17" s="310"/>
      <c r="I17" s="310"/>
      <c r="J17" s="309"/>
      <c r="K17" s="310"/>
      <c r="L17" s="310"/>
      <c r="M17" s="310"/>
      <c r="N17" s="311"/>
      <c r="O17" s="312"/>
      <c r="P17" s="312"/>
      <c r="Q17" s="310"/>
    </row>
    <row r="18" spans="1:17" s="319" customFormat="1">
      <c r="A18" s="320"/>
      <c r="B18" s="315" t="s">
        <v>1441</v>
      </c>
      <c r="C18" s="316"/>
      <c r="D18" s="316"/>
      <c r="E18" s="323"/>
      <c r="F18" s="316"/>
      <c r="G18" s="316"/>
      <c r="H18" s="316"/>
      <c r="I18" s="316"/>
      <c r="J18" s="315"/>
      <c r="K18" s="316"/>
      <c r="L18" s="316"/>
      <c r="M18" s="316"/>
      <c r="N18" s="317"/>
      <c r="O18" s="318"/>
      <c r="P18" s="318"/>
      <c r="Q18" s="316"/>
    </row>
    <row r="19" spans="1:17" s="301" customFormat="1">
      <c r="A19" s="320">
        <f>SUBTOTAL(3,$C$10:C19)</f>
        <v>7</v>
      </c>
      <c r="B19" s="321" t="s">
        <v>1426</v>
      </c>
      <c r="C19" s="322">
        <v>50</v>
      </c>
      <c r="D19" s="322">
        <v>3</v>
      </c>
      <c r="E19" s="323">
        <f t="shared" si="0"/>
        <v>6</v>
      </c>
      <c r="F19" s="322">
        <v>100</v>
      </c>
      <c r="G19" s="322" t="s">
        <v>1434</v>
      </c>
      <c r="H19" s="322" t="s">
        <v>1434</v>
      </c>
      <c r="I19" s="322"/>
      <c r="J19" s="324" t="s">
        <v>1442</v>
      </c>
      <c r="K19" s="325" t="s">
        <v>1429</v>
      </c>
      <c r="L19" s="325">
        <f>C19+C20+C21</f>
        <v>121</v>
      </c>
      <c r="M19" s="325">
        <f>D19+D20+D21</f>
        <v>9</v>
      </c>
      <c r="N19" s="326">
        <f>M19/L19*100</f>
        <v>7.4380165289256199</v>
      </c>
      <c r="O19" s="327">
        <v>0.5</v>
      </c>
      <c r="P19" s="328" t="s">
        <v>1430</v>
      </c>
      <c r="Q19" s="325"/>
    </row>
    <row r="20" spans="1:17" s="301" customFormat="1">
      <c r="A20" s="320">
        <f>SUBTOTAL(3,$C$10:C20)</f>
        <v>8</v>
      </c>
      <c r="B20" s="321" t="s">
        <v>369</v>
      </c>
      <c r="C20" s="322">
        <v>34</v>
      </c>
      <c r="D20" s="322">
        <v>5</v>
      </c>
      <c r="E20" s="323">
        <f t="shared" si="0"/>
        <v>14.705882352941178</v>
      </c>
      <c r="F20" s="322">
        <v>100</v>
      </c>
      <c r="G20" s="322" t="s">
        <v>1434</v>
      </c>
      <c r="H20" s="322" t="s">
        <v>1434</v>
      </c>
      <c r="I20" s="322"/>
      <c r="J20" s="324"/>
      <c r="K20" s="325"/>
      <c r="L20" s="325"/>
      <c r="M20" s="325"/>
      <c r="N20" s="326"/>
      <c r="O20" s="327"/>
      <c r="P20" s="330"/>
      <c r="Q20" s="325"/>
    </row>
    <row r="21" spans="1:17" s="301" customFormat="1">
      <c r="A21" s="320">
        <f>SUBTOTAL(3,$C$10:C21)</f>
        <v>9</v>
      </c>
      <c r="B21" s="321" t="s">
        <v>1433</v>
      </c>
      <c r="C21" s="322">
        <v>37</v>
      </c>
      <c r="D21" s="322">
        <v>1</v>
      </c>
      <c r="E21" s="323">
        <f t="shared" si="0"/>
        <v>2.7027027027027026</v>
      </c>
      <c r="F21" s="322">
        <v>97.3</v>
      </c>
      <c r="G21" s="322" t="s">
        <v>1434</v>
      </c>
      <c r="H21" s="322" t="s">
        <v>1434</v>
      </c>
      <c r="I21" s="322"/>
      <c r="J21" s="324"/>
      <c r="K21" s="325"/>
      <c r="L21" s="325"/>
      <c r="M21" s="325"/>
      <c r="N21" s="326"/>
      <c r="O21" s="327"/>
      <c r="P21" s="329"/>
      <c r="Q21" s="325"/>
    </row>
    <row r="22" spans="1:17" s="301" customFormat="1" ht="15.75" customHeight="1">
      <c r="A22" s="320">
        <f>SUBTOTAL(3,$C$10:C22)</f>
        <v>10</v>
      </c>
      <c r="B22" s="321" t="s">
        <v>1436</v>
      </c>
      <c r="C22" s="322">
        <v>68</v>
      </c>
      <c r="D22" s="322">
        <v>4</v>
      </c>
      <c r="E22" s="323">
        <f t="shared" si="0"/>
        <v>5.8823529411764701</v>
      </c>
      <c r="F22" s="322">
        <v>98.5</v>
      </c>
      <c r="G22" s="322" t="s">
        <v>1434</v>
      </c>
      <c r="H22" s="322" t="s">
        <v>1434</v>
      </c>
      <c r="I22" s="322"/>
      <c r="J22" s="324" t="s">
        <v>1443</v>
      </c>
      <c r="K22" s="325" t="s">
        <v>1429</v>
      </c>
      <c r="L22" s="325">
        <f>C22+C23</f>
        <v>117</v>
      </c>
      <c r="M22" s="325">
        <f>D22+D23</f>
        <v>7</v>
      </c>
      <c r="N22" s="326">
        <f>M22/L22*100</f>
        <v>5.982905982905983</v>
      </c>
      <c r="O22" s="327">
        <v>0.5</v>
      </c>
      <c r="P22" s="328" t="s">
        <v>1430</v>
      </c>
      <c r="Q22" s="325"/>
    </row>
    <row r="23" spans="1:17" s="301" customFormat="1">
      <c r="A23" s="320">
        <f>SUBTOTAL(3,$C$10:C23)</f>
        <v>11</v>
      </c>
      <c r="B23" s="321" t="s">
        <v>1444</v>
      </c>
      <c r="C23" s="322">
        <v>49</v>
      </c>
      <c r="D23" s="322">
        <v>3</v>
      </c>
      <c r="E23" s="323">
        <f t="shared" si="0"/>
        <v>6.1224489795918364</v>
      </c>
      <c r="F23" s="322">
        <v>100</v>
      </c>
      <c r="G23" s="322" t="s">
        <v>1434</v>
      </c>
      <c r="H23" s="322" t="s">
        <v>1434</v>
      </c>
      <c r="I23" s="322"/>
      <c r="J23" s="324"/>
      <c r="K23" s="325"/>
      <c r="L23" s="325"/>
      <c r="M23" s="325"/>
      <c r="N23" s="326"/>
      <c r="O23" s="327"/>
      <c r="P23" s="329"/>
      <c r="Q23" s="325"/>
    </row>
    <row r="24" spans="1:17" s="319" customFormat="1">
      <c r="A24" s="320"/>
      <c r="B24" s="315" t="s">
        <v>1445</v>
      </c>
      <c r="C24" s="316"/>
      <c r="D24" s="316"/>
      <c r="E24" s="323"/>
      <c r="F24" s="316"/>
      <c r="G24" s="316"/>
      <c r="H24" s="316"/>
      <c r="I24" s="316"/>
      <c r="J24" s="315"/>
      <c r="K24" s="316"/>
      <c r="L24" s="316"/>
      <c r="M24" s="316"/>
      <c r="N24" s="317"/>
      <c r="O24" s="331"/>
      <c r="P24" s="331"/>
      <c r="Q24" s="316"/>
    </row>
    <row r="25" spans="1:17" s="301" customFormat="1" ht="15.75" customHeight="1">
      <c r="A25" s="320">
        <f>SUBTOTAL(3,$C$10:C25)</f>
        <v>12</v>
      </c>
      <c r="B25" s="332" t="s">
        <v>1426</v>
      </c>
      <c r="C25" s="322">
        <v>60</v>
      </c>
      <c r="D25" s="322">
        <v>8</v>
      </c>
      <c r="E25" s="323">
        <f t="shared" si="0"/>
        <v>13.333333333333334</v>
      </c>
      <c r="F25" s="322">
        <v>98.33</v>
      </c>
      <c r="G25" s="322" t="s">
        <v>1434</v>
      </c>
      <c r="H25" s="322" t="s">
        <v>1434</v>
      </c>
      <c r="I25" s="322"/>
      <c r="J25" s="324" t="s">
        <v>1428</v>
      </c>
      <c r="K25" s="325" t="s">
        <v>1429</v>
      </c>
      <c r="L25" s="325">
        <f>C25+C26</f>
        <v>87</v>
      </c>
      <c r="M25" s="325">
        <f>D25+D26</f>
        <v>8</v>
      </c>
      <c r="N25" s="326">
        <f>M25/L25*100</f>
        <v>9.1954022988505741</v>
      </c>
      <c r="O25" s="327">
        <v>0.5</v>
      </c>
      <c r="P25" s="328" t="s">
        <v>1430</v>
      </c>
      <c r="Q25" s="325"/>
    </row>
    <row r="26" spans="1:17" s="301" customFormat="1">
      <c r="A26" s="320">
        <f>SUBTOTAL(3,$C$10:C26)</f>
        <v>13</v>
      </c>
      <c r="B26" s="332" t="s">
        <v>369</v>
      </c>
      <c r="C26" s="322">
        <v>27</v>
      </c>
      <c r="D26" s="322">
        <v>0</v>
      </c>
      <c r="E26" s="323">
        <f t="shared" si="0"/>
        <v>0</v>
      </c>
      <c r="F26" s="322">
        <v>100</v>
      </c>
      <c r="G26" s="322" t="s">
        <v>1434</v>
      </c>
      <c r="H26" s="322" t="s">
        <v>1434</v>
      </c>
      <c r="I26" s="322"/>
      <c r="J26" s="324"/>
      <c r="K26" s="325"/>
      <c r="L26" s="325"/>
      <c r="M26" s="325"/>
      <c r="N26" s="326"/>
      <c r="O26" s="327"/>
      <c r="P26" s="329"/>
      <c r="Q26" s="325"/>
    </row>
    <row r="27" spans="1:17" s="301" customFormat="1">
      <c r="A27" s="333"/>
      <c r="B27" s="334"/>
      <c r="C27" s="335"/>
      <c r="D27" s="335"/>
      <c r="E27" s="336"/>
      <c r="F27" s="335"/>
      <c r="G27" s="335"/>
      <c r="H27" s="335"/>
      <c r="I27" s="335"/>
      <c r="J27" s="337"/>
      <c r="K27" s="335"/>
      <c r="L27" s="335"/>
      <c r="M27" s="335"/>
      <c r="N27" s="336"/>
      <c r="O27" s="338"/>
      <c r="P27" s="338"/>
      <c r="Q27" s="335"/>
    </row>
    <row r="28" spans="1:17" s="301" customFormat="1">
      <c r="A28" s="333"/>
      <c r="B28" s="334"/>
      <c r="C28" s="335"/>
      <c r="D28" s="335"/>
      <c r="E28" s="336"/>
      <c r="F28" s="335"/>
      <c r="G28" s="335"/>
      <c r="H28" s="335"/>
      <c r="I28" s="335"/>
      <c r="J28" s="337"/>
      <c r="K28" s="335"/>
      <c r="L28" s="335"/>
      <c r="M28" s="335"/>
      <c r="N28" s="336"/>
      <c r="O28" s="338"/>
      <c r="P28" s="338"/>
      <c r="Q28" s="335"/>
    </row>
  </sheetData>
  <sheetProtection formatCells="0" formatColumns="0" formatRows="0" insertColumns="0" insertRows="0" insertHyperlinks="0" deleteColumns="0" deleteRows="0" selectLockedCells="1"/>
  <mergeCells count="61">
    <mergeCell ref="P25:P26"/>
    <mergeCell ref="Q25:Q26"/>
    <mergeCell ref="J25:J26"/>
    <mergeCell ref="K25:K26"/>
    <mergeCell ref="L25:L26"/>
    <mergeCell ref="M25:M26"/>
    <mergeCell ref="N25:N26"/>
    <mergeCell ref="O25:O26"/>
    <mergeCell ref="P19:P21"/>
    <mergeCell ref="Q19:Q21"/>
    <mergeCell ref="J22:J23"/>
    <mergeCell ref="K22:K23"/>
    <mergeCell ref="L22:L23"/>
    <mergeCell ref="M22:M23"/>
    <mergeCell ref="N22:N23"/>
    <mergeCell ref="O22:O23"/>
    <mergeCell ref="P22:P23"/>
    <mergeCell ref="Q22:Q23"/>
    <mergeCell ref="J19:J21"/>
    <mergeCell ref="K19:K21"/>
    <mergeCell ref="L19:L21"/>
    <mergeCell ref="M19:M21"/>
    <mergeCell ref="N19:N21"/>
    <mergeCell ref="O19:O21"/>
    <mergeCell ref="P12:P13"/>
    <mergeCell ref="Q12:Q13"/>
    <mergeCell ref="J15:J16"/>
    <mergeCell ref="K15:K16"/>
    <mergeCell ref="L15:L16"/>
    <mergeCell ref="M15:M16"/>
    <mergeCell ref="N15:N16"/>
    <mergeCell ref="O15:O16"/>
    <mergeCell ref="P15:P16"/>
    <mergeCell ref="Q15:Q16"/>
    <mergeCell ref="J12:J13"/>
    <mergeCell ref="K12:K13"/>
    <mergeCell ref="L12:L13"/>
    <mergeCell ref="M12:M13"/>
    <mergeCell ref="N12:N13"/>
    <mergeCell ref="O12:O13"/>
    <mergeCell ref="Q5:Q6"/>
    <mergeCell ref="J10:J11"/>
    <mergeCell ref="K10:K11"/>
    <mergeCell ref="L10:L11"/>
    <mergeCell ref="M10:M11"/>
    <mergeCell ref="N10:N11"/>
    <mergeCell ref="O10:O11"/>
    <mergeCell ref="P10:P11"/>
    <mergeCell ref="Q10:Q11"/>
    <mergeCell ref="I5:I6"/>
    <mergeCell ref="J5:J6"/>
    <mergeCell ref="K5:L5"/>
    <mergeCell ref="M5:N5"/>
    <mergeCell ref="O5:O6"/>
    <mergeCell ref="P5:P6"/>
    <mergeCell ref="A5:A6"/>
    <mergeCell ref="B5:C5"/>
    <mergeCell ref="D5:E5"/>
    <mergeCell ref="F5:F6"/>
    <mergeCell ref="G5:G6"/>
    <mergeCell ref="H5:H6"/>
  </mergeCells>
  <pageMargins left="0.35" right="0.19685039370078741" top="0.35" bottom="0.35433070866141736" header="0.19685039370078741" footer="0.15748031496062992"/>
  <pageSetup paperSize="9" scale="8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F667-8B27-4B98-AEEB-B8AF6C00FD3F}">
  <dimension ref="A1:P21"/>
  <sheetViews>
    <sheetView tabSelected="1" view="pageBreakPreview" zoomScale="115" zoomScaleNormal="100" zoomScaleSheetLayoutView="115" workbookViewId="0">
      <pane xSplit="2" ySplit="6" topLeftCell="C7" activePane="bottomRight" state="frozen"/>
      <selection activeCell="Q1" sqref="Q1"/>
      <selection pane="topRight" activeCell="Q1" sqref="Q1"/>
      <selection pane="bottomLeft" activeCell="Q1" sqref="Q1"/>
      <selection pane="bottomRight" activeCell="C7" sqref="C7"/>
    </sheetView>
  </sheetViews>
  <sheetFormatPr defaultColWidth="9" defaultRowHeight="15"/>
  <cols>
    <col min="1" max="1" width="7.875" style="369" customWidth="1"/>
    <col min="2" max="2" width="34" style="370" customWidth="1"/>
    <col min="3" max="3" width="13.125" style="369" customWidth="1"/>
    <col min="4" max="4" width="26.25" style="370" customWidth="1"/>
    <col min="5" max="16384" width="9" style="370"/>
  </cols>
  <sheetData>
    <row r="1" spans="1:16" s="286" customFormat="1" ht="15.75">
      <c r="A1" s="339" t="s">
        <v>1418</v>
      </c>
      <c r="C1" s="284"/>
      <c r="D1" s="288"/>
      <c r="E1" s="285"/>
      <c r="F1" s="285"/>
      <c r="G1" s="285"/>
      <c r="H1" s="285"/>
      <c r="I1" s="285"/>
      <c r="K1" s="284"/>
      <c r="L1" s="284"/>
      <c r="M1" s="284"/>
      <c r="N1" s="284"/>
      <c r="O1" s="287"/>
    </row>
    <row r="2" spans="1:16" s="286" customFormat="1" ht="15.75">
      <c r="A2" s="339" t="s">
        <v>1419</v>
      </c>
      <c r="C2" s="284"/>
      <c r="D2" s="285"/>
      <c r="E2" s="285"/>
      <c r="F2" s="285"/>
      <c r="G2" s="285"/>
      <c r="H2" s="285"/>
      <c r="I2" s="285"/>
      <c r="K2" s="284"/>
      <c r="L2" s="284"/>
      <c r="M2" s="284"/>
      <c r="N2" s="284"/>
      <c r="O2" s="289"/>
      <c r="P2" s="284"/>
    </row>
    <row r="3" spans="1:16" s="286" customFormat="1" ht="25.9" customHeight="1">
      <c r="A3" s="340" t="s">
        <v>1446</v>
      </c>
      <c r="B3" s="340"/>
      <c r="C3" s="340"/>
      <c r="D3" s="340"/>
      <c r="E3" s="283"/>
      <c r="F3" s="283"/>
      <c r="G3" s="283"/>
      <c r="H3" s="283"/>
      <c r="I3" s="283"/>
      <c r="J3" s="341"/>
      <c r="K3" s="341"/>
      <c r="L3" s="341"/>
      <c r="M3" s="341"/>
      <c r="N3" s="341"/>
      <c r="O3" s="342"/>
      <c r="P3" s="341"/>
    </row>
    <row r="4" spans="1:16" s="296" customFormat="1" ht="22.15" customHeight="1">
      <c r="A4" s="343" t="s">
        <v>1447</v>
      </c>
      <c r="B4" s="343"/>
      <c r="C4" s="343"/>
      <c r="D4" s="343"/>
      <c r="E4" s="344"/>
      <c r="F4" s="344"/>
      <c r="G4" s="344"/>
      <c r="H4" s="344"/>
      <c r="I4" s="344"/>
      <c r="J4" s="345"/>
      <c r="K4" s="345"/>
      <c r="L4" s="345"/>
      <c r="M4" s="345"/>
      <c r="N4" s="345"/>
      <c r="O4" s="346"/>
      <c r="P4" s="345"/>
    </row>
    <row r="5" spans="1:16" s="348" customFormat="1" ht="31.5">
      <c r="A5" s="347" t="s">
        <v>1448</v>
      </c>
      <c r="B5" s="347" t="s">
        <v>1449</v>
      </c>
      <c r="C5" s="347" t="s">
        <v>1450</v>
      </c>
      <c r="D5" s="347" t="s">
        <v>1451</v>
      </c>
    </row>
    <row r="6" spans="1:16" s="348" customFormat="1" ht="14.25" customHeight="1">
      <c r="A6" s="349">
        <v>1</v>
      </c>
      <c r="B6" s="349">
        <v>2</v>
      </c>
      <c r="C6" s="349">
        <v>3</v>
      </c>
      <c r="D6" s="349">
        <v>4</v>
      </c>
    </row>
    <row r="7" spans="1:16" s="348" customFormat="1" ht="30.75" customHeight="1">
      <c r="A7" s="350" t="s">
        <v>1424</v>
      </c>
      <c r="B7" s="351"/>
      <c r="C7" s="352"/>
      <c r="D7" s="353"/>
    </row>
    <row r="8" spans="1:16" s="358" customFormat="1" ht="20.25" customHeight="1">
      <c r="A8" s="354" t="s">
        <v>1452</v>
      </c>
      <c r="B8" s="355"/>
      <c r="C8" s="356"/>
      <c r="D8" s="357"/>
    </row>
    <row r="9" spans="1:16" s="363" customFormat="1" ht="15.75">
      <c r="A9" s="359">
        <v>1</v>
      </c>
      <c r="B9" s="360" t="s">
        <v>1453</v>
      </c>
      <c r="C9" s="361"/>
      <c r="D9" s="362" t="s">
        <v>1454</v>
      </c>
    </row>
    <row r="10" spans="1:16" s="363" customFormat="1" ht="15.75">
      <c r="A10" s="359">
        <v>2</v>
      </c>
      <c r="B10" s="360" t="s">
        <v>1453</v>
      </c>
      <c r="C10" s="361"/>
      <c r="D10" s="362" t="s">
        <v>1454</v>
      </c>
    </row>
    <row r="11" spans="1:16" s="363" customFormat="1" ht="15.75">
      <c r="A11" s="359">
        <v>3</v>
      </c>
      <c r="B11" s="360" t="s">
        <v>1453</v>
      </c>
      <c r="C11" s="361"/>
      <c r="D11" s="362" t="s">
        <v>1454</v>
      </c>
    </row>
    <row r="12" spans="1:16" s="363" customFormat="1" ht="15.75">
      <c r="A12" s="359">
        <v>4</v>
      </c>
      <c r="B12" s="360" t="s">
        <v>1453</v>
      </c>
      <c r="C12" s="361"/>
      <c r="D12" s="362" t="s">
        <v>1454</v>
      </c>
    </row>
    <row r="13" spans="1:16" s="363" customFormat="1" ht="15.75">
      <c r="A13" s="359">
        <v>5</v>
      </c>
      <c r="B13" s="360" t="s">
        <v>1453</v>
      </c>
      <c r="C13" s="361"/>
      <c r="D13" s="362" t="s">
        <v>1454</v>
      </c>
    </row>
    <row r="14" spans="1:16" s="348" customFormat="1" ht="30.75" customHeight="1">
      <c r="A14" s="350" t="s">
        <v>1455</v>
      </c>
      <c r="B14" s="351"/>
      <c r="C14" s="352"/>
      <c r="D14" s="353"/>
    </row>
    <row r="15" spans="1:16" s="358" customFormat="1" ht="20.25" customHeight="1">
      <c r="A15" s="354" t="s">
        <v>1456</v>
      </c>
      <c r="B15" s="355"/>
      <c r="C15" s="356"/>
      <c r="D15" s="357"/>
    </row>
    <row r="16" spans="1:16" s="363" customFormat="1" ht="15.75">
      <c r="A16" s="364">
        <v>1</v>
      </c>
      <c r="B16" s="365" t="s">
        <v>1457</v>
      </c>
      <c r="C16" s="364"/>
      <c r="D16" s="362" t="s">
        <v>1454</v>
      </c>
    </row>
    <row r="17" spans="1:4" s="363" customFormat="1" ht="15.75">
      <c r="A17" s="364">
        <v>2</v>
      </c>
      <c r="B17" s="365" t="s">
        <v>1457</v>
      </c>
      <c r="C17" s="364"/>
      <c r="D17" s="362" t="s">
        <v>1454</v>
      </c>
    </row>
    <row r="18" spans="1:4" s="363" customFormat="1" ht="15.75">
      <c r="A18" s="364">
        <v>3</v>
      </c>
      <c r="B18" s="365" t="s">
        <v>1457</v>
      </c>
      <c r="C18" s="364"/>
      <c r="D18" s="362" t="s">
        <v>1454</v>
      </c>
    </row>
    <row r="19" spans="1:4" s="363" customFormat="1" ht="15.75">
      <c r="A19" s="364">
        <v>4</v>
      </c>
      <c r="B19" s="365" t="s">
        <v>1457</v>
      </c>
      <c r="C19" s="364"/>
      <c r="D19" s="362" t="s">
        <v>1454</v>
      </c>
    </row>
    <row r="20" spans="1:4" s="363" customFormat="1" ht="15.75">
      <c r="A20" s="364">
        <v>5</v>
      </c>
      <c r="B20" s="365" t="s">
        <v>1457</v>
      </c>
      <c r="C20" s="364"/>
      <c r="D20" s="362" t="s">
        <v>1454</v>
      </c>
    </row>
    <row r="21" spans="1:4" s="368" customFormat="1" ht="36" customHeight="1">
      <c r="A21" s="366" t="s">
        <v>1458</v>
      </c>
      <c r="B21" s="367"/>
      <c r="C21" s="367"/>
      <c r="D21" s="367"/>
    </row>
  </sheetData>
  <mergeCells count="2">
    <mergeCell ref="A3:D3"/>
    <mergeCell ref="A4:D4"/>
  </mergeCells>
  <pageMargins left="0.84055118100000004" right="0.196850393700787" top="0.55000000000000004" bottom="0.45" header="0.56999999999999995" footer="0.4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FF0000"/>
    <pageSetUpPr fitToPage="1"/>
  </sheetPr>
  <dimension ref="A1:X1301"/>
  <sheetViews>
    <sheetView view="pageBreakPreview" zoomScale="115" zoomScaleNormal="100" zoomScaleSheetLayoutView="115" workbookViewId="0">
      <pane ySplit="6" topLeftCell="A1281" activePane="bottomLeft" state="frozen"/>
      <selection activeCell="A7" sqref="A7"/>
      <selection pane="bottomLeft" activeCell="C1306" sqref="C1306"/>
    </sheetView>
  </sheetViews>
  <sheetFormatPr defaultColWidth="11.25" defaultRowHeight="15" customHeight="1"/>
  <cols>
    <col min="1" max="1" width="4.625" customWidth="1"/>
    <col min="2" max="2" width="17.75" customWidth="1"/>
    <col min="3" max="3" width="16.875" customWidth="1"/>
    <col min="4" max="5" width="11.5" hidden="1" customWidth="1"/>
    <col min="6" max="6" width="21.375" customWidth="1"/>
    <col min="7" max="7" width="10.5" hidden="1" customWidth="1"/>
    <col min="8" max="8" width="5.5" hidden="1" customWidth="1"/>
    <col min="9" max="9" width="9.625" customWidth="1"/>
    <col min="10" max="10" width="10.375" customWidth="1"/>
    <col min="11" max="11" width="9.875" customWidth="1"/>
    <col min="12" max="12" width="7.125" customWidth="1"/>
    <col min="13" max="13" width="8.125" hidden="1" customWidth="1"/>
    <col min="14" max="14" width="6.5" hidden="1" customWidth="1"/>
    <col min="15" max="15" width="10.25" hidden="1" customWidth="1"/>
    <col min="16" max="16" width="7.125" hidden="1" customWidth="1"/>
    <col min="17" max="17" width="13.5" customWidth="1"/>
    <col min="18" max="18" width="5.875" hidden="1" customWidth="1"/>
    <col min="19" max="19" width="10.5" hidden="1" customWidth="1"/>
    <col min="20" max="20" width="10.125" hidden="1" customWidth="1"/>
    <col min="21" max="21" width="13.125" customWidth="1"/>
    <col min="22" max="22" width="9.125" hidden="1" customWidth="1"/>
    <col min="23" max="23" width="8.75" hidden="1" customWidth="1"/>
    <col min="24" max="24" width="10.25" customWidth="1"/>
  </cols>
  <sheetData>
    <row r="1" spans="1:24" ht="15.75" customHeight="1">
      <c r="A1" s="1"/>
      <c r="B1" s="2" t="s">
        <v>0</v>
      </c>
      <c r="C1" s="2"/>
      <c r="D1" s="2"/>
      <c r="E1" s="2"/>
      <c r="F1" s="2"/>
      <c r="G1" s="2"/>
      <c r="H1" s="2"/>
      <c r="I1" s="3"/>
      <c r="J1" s="3"/>
      <c r="K1" s="3"/>
      <c r="L1" s="1"/>
      <c r="M1" s="3"/>
      <c r="N1" s="1"/>
      <c r="P1" s="3"/>
      <c r="Q1" s="4"/>
      <c r="R1" s="5"/>
      <c r="S1" s="2"/>
      <c r="T1" s="2"/>
      <c r="U1" s="2"/>
      <c r="V1" s="2"/>
      <c r="W1" s="6"/>
      <c r="X1" s="7"/>
    </row>
    <row r="2" spans="1:24" ht="15.75" customHeight="1">
      <c r="A2" s="1"/>
      <c r="B2" s="8" t="s">
        <v>1</v>
      </c>
      <c r="C2" s="2"/>
      <c r="D2" s="2"/>
      <c r="E2" s="2"/>
      <c r="F2" s="2"/>
      <c r="G2" s="2"/>
      <c r="H2" s="2"/>
      <c r="I2" s="3"/>
      <c r="J2" s="3"/>
      <c r="K2" s="3"/>
      <c r="L2" s="1"/>
      <c r="M2" s="3"/>
      <c r="N2" s="1"/>
      <c r="O2" s="3"/>
      <c r="P2" s="9"/>
      <c r="Q2" s="5"/>
      <c r="R2" s="5"/>
      <c r="S2" s="2"/>
      <c r="T2" s="2"/>
      <c r="U2" s="2"/>
      <c r="V2" s="2"/>
      <c r="W2" s="6"/>
      <c r="X2" s="2"/>
    </row>
    <row r="3" spans="1:24" ht="42" customHeight="1">
      <c r="A3" s="242" t="s">
        <v>1414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</row>
    <row r="4" spans="1:24" ht="15.75">
      <c r="A4" s="244" t="s">
        <v>1337</v>
      </c>
      <c r="B4" s="244" t="s">
        <v>2</v>
      </c>
      <c r="C4" s="244" t="s">
        <v>3</v>
      </c>
      <c r="D4" s="239" t="s">
        <v>4</v>
      </c>
      <c r="E4" s="239" t="s">
        <v>5</v>
      </c>
      <c r="F4" s="244" t="s">
        <v>6</v>
      </c>
      <c r="G4" s="245" t="s">
        <v>7</v>
      </c>
      <c r="H4" s="246" t="s">
        <v>8</v>
      </c>
      <c r="I4" s="247" t="s">
        <v>9</v>
      </c>
      <c r="J4" s="248"/>
      <c r="K4" s="248"/>
      <c r="L4" s="249"/>
      <c r="M4" s="247" t="s">
        <v>10</v>
      </c>
      <c r="N4" s="248"/>
      <c r="O4" s="248"/>
      <c r="P4" s="249"/>
      <c r="Q4" s="250" t="s">
        <v>11</v>
      </c>
      <c r="R4" s="237" t="s">
        <v>12</v>
      </c>
      <c r="S4" s="239" t="s">
        <v>13</v>
      </c>
      <c r="T4" s="240" t="s">
        <v>14</v>
      </c>
      <c r="U4" s="241" t="s">
        <v>1416</v>
      </c>
      <c r="V4" s="240" t="s">
        <v>15</v>
      </c>
      <c r="W4" s="240" t="s">
        <v>16</v>
      </c>
      <c r="X4" s="244" t="s">
        <v>17</v>
      </c>
    </row>
    <row r="5" spans="1:24" ht="47.25">
      <c r="A5" s="238"/>
      <c r="B5" s="238"/>
      <c r="C5" s="238"/>
      <c r="D5" s="238"/>
      <c r="E5" s="238"/>
      <c r="F5" s="238"/>
      <c r="G5" s="238"/>
      <c r="H5" s="238"/>
      <c r="I5" s="10" t="s">
        <v>9</v>
      </c>
      <c r="J5" s="10" t="s">
        <v>18</v>
      </c>
      <c r="K5" s="10" t="s">
        <v>19</v>
      </c>
      <c r="L5" s="10" t="s">
        <v>20</v>
      </c>
      <c r="M5" s="10" t="s">
        <v>21</v>
      </c>
      <c r="N5" s="10" t="s">
        <v>20</v>
      </c>
      <c r="O5" s="10" t="s">
        <v>22</v>
      </c>
      <c r="P5" s="10" t="s">
        <v>20</v>
      </c>
      <c r="Q5" s="238"/>
      <c r="R5" s="238"/>
      <c r="S5" s="238"/>
      <c r="T5" s="238"/>
      <c r="U5" s="238"/>
      <c r="V5" s="238"/>
      <c r="W5" s="238"/>
      <c r="X5" s="238"/>
    </row>
    <row r="6" spans="1:24" ht="15.75" customHeight="1">
      <c r="A6" s="11" t="s">
        <v>23</v>
      </c>
      <c r="B6" s="11" t="s">
        <v>24</v>
      </c>
      <c r="C6" s="11" t="s">
        <v>25</v>
      </c>
      <c r="D6" s="11" t="s">
        <v>26</v>
      </c>
      <c r="E6" s="11" t="s">
        <v>26</v>
      </c>
      <c r="F6" s="11" t="s">
        <v>27</v>
      </c>
      <c r="G6" s="11" t="s">
        <v>26</v>
      </c>
      <c r="H6" s="11" t="s">
        <v>26</v>
      </c>
      <c r="I6" s="11" t="s">
        <v>28</v>
      </c>
      <c r="J6" s="11" t="s">
        <v>26</v>
      </c>
      <c r="K6" s="11" t="s">
        <v>29</v>
      </c>
      <c r="L6" s="11" t="s">
        <v>30</v>
      </c>
      <c r="M6" s="11" t="s">
        <v>31</v>
      </c>
      <c r="N6" s="11" t="s">
        <v>32</v>
      </c>
      <c r="O6" s="11" t="s">
        <v>33</v>
      </c>
      <c r="P6" s="11" t="s">
        <v>34</v>
      </c>
      <c r="Q6" s="11">
        <v>8</v>
      </c>
      <c r="R6" s="11" t="s">
        <v>26</v>
      </c>
      <c r="S6" s="11" t="s">
        <v>26</v>
      </c>
      <c r="T6" s="11" t="s">
        <v>26</v>
      </c>
      <c r="U6" s="11">
        <v>9</v>
      </c>
      <c r="V6" s="11" t="s">
        <v>26</v>
      </c>
      <c r="W6" s="11" t="s">
        <v>35</v>
      </c>
      <c r="X6" s="11">
        <v>10</v>
      </c>
    </row>
    <row r="7" spans="1:24" ht="15.75" hidden="1" customHeight="1">
      <c r="A7" s="12">
        <f>_xlfn.AGGREGATE(4,7,A$6:A6)+1</f>
        <v>1</v>
      </c>
      <c r="B7" s="13" t="s">
        <v>37</v>
      </c>
      <c r="C7" s="14" t="s">
        <v>38</v>
      </c>
      <c r="D7" s="15" t="s">
        <v>36</v>
      </c>
      <c r="E7" s="16" t="s">
        <v>36</v>
      </c>
      <c r="F7" s="17" t="s">
        <v>39</v>
      </c>
      <c r="G7" s="18" t="s">
        <v>40</v>
      </c>
      <c r="H7" s="18" t="str">
        <f>IF(LEFT('PL1(Full)'!$F7,4)="Thôn","Thôn","Tổ")</f>
        <v>Tổ</v>
      </c>
      <c r="I7" s="19">
        <v>170</v>
      </c>
      <c r="J7" s="20">
        <v>683</v>
      </c>
      <c r="K7" s="20">
        <v>150</v>
      </c>
      <c r="L7" s="21">
        <f t="shared" ref="L7:L1298" si="0">100*K7/I7</f>
        <v>88.235294117647058</v>
      </c>
      <c r="M7" s="19">
        <v>2</v>
      </c>
      <c r="N7" s="22">
        <f t="shared" ref="N7:N1298" si="1">IF(M7=0,0,M7*100/I7)</f>
        <v>1.1764705882352942</v>
      </c>
      <c r="O7" s="20">
        <v>2</v>
      </c>
      <c r="P7" s="22">
        <f t="shared" ref="P7:P1298" si="2">IF(M7=0,0,O7*100/M7)</f>
        <v>100</v>
      </c>
      <c r="Q7" s="23" t="s">
        <v>41</v>
      </c>
      <c r="R7" s="24" t="str">
        <f t="shared" ref="R7:R1298" si="3">LEFT(Q7,1)</f>
        <v>X</v>
      </c>
      <c r="S7" s="25"/>
      <c r="T7" s="26" t="str">
        <f>IF('PL1(Full)'!$N7&gt;=20,"x",IF(AND('PL1(Full)'!$N7&gt;=15,'PL1(Full)'!$P7&gt;60),"x",""))</f>
        <v/>
      </c>
      <c r="U7" s="27" t="str">
        <f>IF(AND('PL1(Full)'!$H7="Thôn",'PL1(Full)'!$I7&lt;75),"x",IF(AND('PL1(Full)'!$H7="Tổ",'PL1(Full)'!$I7&lt;100),"x","-"))</f>
        <v>-</v>
      </c>
      <c r="V7" s="28" t="str">
        <f>IF(AND('PL1(Full)'!$H7="Thôn",'PL1(Full)'!$I7&lt;140),"x",IF(AND('PL1(Full)'!$H7="Tổ",'PL1(Full)'!$I7&lt;210),"x","-"))</f>
        <v>x</v>
      </c>
      <c r="W7" s="29" t="str">
        <f t="shared" ref="W7:W15" si="4">IF(I7&gt;=200,"Loại 1",IF(I7&gt;=150,"Loại 2","Loại 3"))</f>
        <v>Loại 2</v>
      </c>
      <c r="X7" s="14"/>
    </row>
    <row r="8" spans="1:24" ht="15.75" hidden="1" customHeight="1">
      <c r="A8" s="30">
        <f>_xlfn.AGGREGATE(4,7,A$6:A7)+1</f>
        <v>1</v>
      </c>
      <c r="B8" s="31" t="str">
        <f t="shared" ref="B8:C8" si="5">B7</f>
        <v>H. Ba Bể</v>
      </c>
      <c r="C8" s="31" t="str">
        <f t="shared" si="5"/>
        <v>TT. Chợ Rã</v>
      </c>
      <c r="D8" s="32"/>
      <c r="E8" s="32" t="s">
        <v>36</v>
      </c>
      <c r="F8" s="33" t="s">
        <v>42</v>
      </c>
      <c r="G8" s="34" t="s">
        <v>40</v>
      </c>
      <c r="H8" s="32" t="str">
        <f>IF(LEFT('PL1(Full)'!$F8,4)="Thôn","Thôn","Tổ")</f>
        <v>Tổ</v>
      </c>
      <c r="I8" s="35">
        <v>149</v>
      </c>
      <c r="J8" s="36">
        <v>571</v>
      </c>
      <c r="K8" s="36">
        <v>129</v>
      </c>
      <c r="L8" s="37">
        <f t="shared" si="0"/>
        <v>86.577181208053688</v>
      </c>
      <c r="M8" s="35">
        <v>1</v>
      </c>
      <c r="N8" s="38">
        <f t="shared" si="1"/>
        <v>0.67114093959731547</v>
      </c>
      <c r="O8" s="36">
        <v>1</v>
      </c>
      <c r="P8" s="38">
        <f t="shared" si="2"/>
        <v>100</v>
      </c>
      <c r="Q8" s="39" t="s">
        <v>43</v>
      </c>
      <c r="R8" s="39" t="str">
        <f t="shared" si="3"/>
        <v>X</v>
      </c>
      <c r="S8" s="34"/>
      <c r="T8" s="34" t="str">
        <f>IF('PL1(Full)'!$N8&gt;=20,"x",IF(AND('PL1(Full)'!$N8&gt;=15,'PL1(Full)'!$P8&gt;60),"x",""))</f>
        <v/>
      </c>
      <c r="U8" s="34" t="str">
        <f>IF(AND('PL1(Full)'!$H8="Thôn",'PL1(Full)'!$I8&lt;75),"x",IF(AND('PL1(Full)'!$H8="Tổ",'PL1(Full)'!$I8&lt;100),"x","-"))</f>
        <v>-</v>
      </c>
      <c r="V8" s="34" t="str">
        <f>IF(AND('PL1(Full)'!$H8="Thôn",'PL1(Full)'!$I8&lt;140),"x",IF(AND('PL1(Full)'!$H8="Tổ",'PL1(Full)'!$I8&lt;210),"x","-"))</f>
        <v>x</v>
      </c>
      <c r="W8" s="40" t="str">
        <f t="shared" si="4"/>
        <v>Loại 3</v>
      </c>
      <c r="X8" s="31"/>
    </row>
    <row r="9" spans="1:24" ht="15.75" hidden="1" customHeight="1">
      <c r="A9" s="30">
        <f>_xlfn.AGGREGATE(4,7,A$6:A8)+1</f>
        <v>1</v>
      </c>
      <c r="B9" s="31" t="str">
        <f t="shared" ref="B9:C9" si="6">B8</f>
        <v>H. Ba Bể</v>
      </c>
      <c r="C9" s="31" t="str">
        <f t="shared" si="6"/>
        <v>TT. Chợ Rã</v>
      </c>
      <c r="D9" s="32"/>
      <c r="E9" s="32" t="s">
        <v>36</v>
      </c>
      <c r="F9" s="33" t="s">
        <v>44</v>
      </c>
      <c r="G9" s="32"/>
      <c r="H9" s="32" t="str">
        <f>IF(LEFT('PL1(Full)'!$F9,4)="Thôn","Thôn","Tổ")</f>
        <v>Tổ</v>
      </c>
      <c r="I9" s="35">
        <v>136</v>
      </c>
      <c r="J9" s="36">
        <v>487</v>
      </c>
      <c r="K9" s="36">
        <v>126</v>
      </c>
      <c r="L9" s="37">
        <f t="shared" si="0"/>
        <v>92.647058823529406</v>
      </c>
      <c r="M9" s="35">
        <v>1</v>
      </c>
      <c r="N9" s="38">
        <f t="shared" si="1"/>
        <v>0.73529411764705888</v>
      </c>
      <c r="O9" s="36">
        <v>1</v>
      </c>
      <c r="P9" s="38">
        <f t="shared" si="2"/>
        <v>100</v>
      </c>
      <c r="Q9" s="39" t="s">
        <v>45</v>
      </c>
      <c r="R9" s="39" t="str">
        <f t="shared" si="3"/>
        <v>X</v>
      </c>
      <c r="S9" s="34"/>
      <c r="T9" s="34"/>
      <c r="U9" s="34" t="str">
        <f>IF(AND('PL1(Full)'!$H9="Thôn",'PL1(Full)'!$I9&lt;75),"x",IF(AND('PL1(Full)'!$H9="Tổ",'PL1(Full)'!$I9&lt;100),"x","-"))</f>
        <v>-</v>
      </c>
      <c r="V9" s="34" t="str">
        <f>IF(AND('PL1(Full)'!$H9="Thôn",'PL1(Full)'!$I9&lt;140),"x",IF(AND('PL1(Full)'!$H9="Tổ",'PL1(Full)'!$I9&lt;210),"x","-"))</f>
        <v>x</v>
      </c>
      <c r="W9" s="40" t="str">
        <f t="shared" si="4"/>
        <v>Loại 3</v>
      </c>
      <c r="X9" s="31"/>
    </row>
    <row r="10" spans="1:24" ht="15.75" hidden="1" customHeight="1">
      <c r="A10" s="30">
        <f>_xlfn.AGGREGATE(4,7,A$6:A9)+1</f>
        <v>1</v>
      </c>
      <c r="B10" s="31" t="str">
        <f t="shared" ref="B10:C10" si="7">B9</f>
        <v>H. Ba Bể</v>
      </c>
      <c r="C10" s="31" t="str">
        <f t="shared" si="7"/>
        <v>TT. Chợ Rã</v>
      </c>
      <c r="D10" s="32"/>
      <c r="E10" s="32" t="s">
        <v>36</v>
      </c>
      <c r="F10" s="33" t="s">
        <v>46</v>
      </c>
      <c r="G10" s="32"/>
      <c r="H10" s="32" t="str">
        <f>IF(LEFT('PL1(Full)'!$F10,4)="Thôn","Thôn","Tổ")</f>
        <v>Tổ</v>
      </c>
      <c r="I10" s="35">
        <v>155</v>
      </c>
      <c r="J10" s="36">
        <v>625</v>
      </c>
      <c r="K10" s="36">
        <v>109</v>
      </c>
      <c r="L10" s="37">
        <f t="shared" si="0"/>
        <v>70.322580645161295</v>
      </c>
      <c r="M10" s="35">
        <v>3</v>
      </c>
      <c r="N10" s="38">
        <f t="shared" si="1"/>
        <v>1.935483870967742</v>
      </c>
      <c r="O10" s="36">
        <v>2</v>
      </c>
      <c r="P10" s="38">
        <f t="shared" si="2"/>
        <v>66.666666666666671</v>
      </c>
      <c r="Q10" s="39" t="s">
        <v>47</v>
      </c>
      <c r="R10" s="39" t="str">
        <f t="shared" si="3"/>
        <v>X</v>
      </c>
      <c r="S10" s="34"/>
      <c r="T10" s="34" t="str">
        <f>IF('PL1(Full)'!$N10&gt;=20,"x",IF(AND('PL1(Full)'!$N10&gt;=15,'PL1(Full)'!$P10&gt;60),"x",""))</f>
        <v/>
      </c>
      <c r="U10" s="34" t="str">
        <f>IF(AND('PL1(Full)'!$H10="Thôn",'PL1(Full)'!$I10&lt;75),"x",IF(AND('PL1(Full)'!$H10="Tổ",'PL1(Full)'!$I10&lt;100),"x","-"))</f>
        <v>-</v>
      </c>
      <c r="V10" s="34" t="str">
        <f>IF(AND('PL1(Full)'!$H10="Thôn",'PL1(Full)'!$I10&lt;140),"x",IF(AND('PL1(Full)'!$H10="Tổ",'PL1(Full)'!$I10&lt;210),"x","-"))</f>
        <v>x</v>
      </c>
      <c r="W10" s="40" t="str">
        <f t="shared" si="4"/>
        <v>Loại 2</v>
      </c>
      <c r="X10" s="31"/>
    </row>
    <row r="11" spans="1:24" ht="15.75" customHeight="1">
      <c r="A11" s="30">
        <f>_xlfn.AGGREGATE(4,7,A$6:A10)+1</f>
        <v>1</v>
      </c>
      <c r="B11" s="31" t="str">
        <f t="shared" ref="B11:C11" si="8">B10</f>
        <v>H. Ba Bể</v>
      </c>
      <c r="C11" s="31" t="str">
        <f t="shared" si="8"/>
        <v>TT. Chợ Rã</v>
      </c>
      <c r="D11" s="32"/>
      <c r="E11" s="32" t="s">
        <v>36</v>
      </c>
      <c r="F11" s="33" t="s">
        <v>48</v>
      </c>
      <c r="G11" s="32"/>
      <c r="H11" s="32" t="str">
        <f>IF(LEFT('PL1(Full)'!$F11,4)="Thôn","Thôn","Tổ")</f>
        <v>Tổ</v>
      </c>
      <c r="I11" s="35">
        <v>85</v>
      </c>
      <c r="J11" s="36">
        <v>333</v>
      </c>
      <c r="K11" s="36">
        <v>65</v>
      </c>
      <c r="L11" s="37">
        <f t="shared" si="0"/>
        <v>76.470588235294116</v>
      </c>
      <c r="M11" s="35">
        <v>1</v>
      </c>
      <c r="N11" s="38">
        <f t="shared" si="1"/>
        <v>1.1764705882352942</v>
      </c>
      <c r="O11" s="36">
        <v>1</v>
      </c>
      <c r="P11" s="38">
        <f t="shared" si="2"/>
        <v>100</v>
      </c>
      <c r="Q11" s="39" t="s">
        <v>49</v>
      </c>
      <c r="R11" s="39" t="str">
        <f t="shared" si="3"/>
        <v>X</v>
      </c>
      <c r="S11" s="34"/>
      <c r="T11" s="34" t="str">
        <f>IF('PL1(Full)'!$N11&gt;=20,"x",IF(AND('PL1(Full)'!$N11&gt;=15,'PL1(Full)'!$P11&gt;60),"x",""))</f>
        <v/>
      </c>
      <c r="U11" s="34" t="str">
        <f>IF(AND('PL1(Full)'!$H11="Thôn",'PL1(Full)'!$I11&lt;75),"x",IF(AND('PL1(Full)'!$H11="Tổ",'PL1(Full)'!$I11&lt;100),"x","-"))</f>
        <v>x</v>
      </c>
      <c r="V11" s="34" t="str">
        <f>IF(AND('PL1(Full)'!$H11="Thôn",'PL1(Full)'!$I11&lt;140),"x",IF(AND('PL1(Full)'!$H11="Tổ",'PL1(Full)'!$I11&lt;210),"x","-"))</f>
        <v>x</v>
      </c>
      <c r="W11" s="40" t="str">
        <f t="shared" si="4"/>
        <v>Loại 3</v>
      </c>
      <c r="X11" s="31"/>
    </row>
    <row r="12" spans="1:24" ht="15.75" customHeight="1">
      <c r="A12" s="30">
        <f>_xlfn.AGGREGATE(4,7,A$6:A11)+1</f>
        <v>2</v>
      </c>
      <c r="B12" s="31" t="str">
        <f t="shared" ref="B12:C12" si="9">B11</f>
        <v>H. Ba Bể</v>
      </c>
      <c r="C12" s="31" t="str">
        <f t="shared" si="9"/>
        <v>TT. Chợ Rã</v>
      </c>
      <c r="D12" s="32"/>
      <c r="E12" s="32" t="s">
        <v>36</v>
      </c>
      <c r="F12" s="33" t="s">
        <v>50</v>
      </c>
      <c r="G12" s="32"/>
      <c r="H12" s="32" t="str">
        <f>IF(LEFT('PL1(Full)'!$F12,4)="Thôn","Thôn","Tổ")</f>
        <v>Tổ</v>
      </c>
      <c r="I12" s="35">
        <v>83</v>
      </c>
      <c r="J12" s="36">
        <v>325</v>
      </c>
      <c r="K12" s="36">
        <v>74</v>
      </c>
      <c r="L12" s="37">
        <f t="shared" si="0"/>
        <v>89.156626506024097</v>
      </c>
      <c r="M12" s="35">
        <v>1</v>
      </c>
      <c r="N12" s="38">
        <f t="shared" si="1"/>
        <v>1.2048192771084338</v>
      </c>
      <c r="O12" s="36">
        <v>1</v>
      </c>
      <c r="P12" s="38">
        <f t="shared" si="2"/>
        <v>100</v>
      </c>
      <c r="Q12" s="39" t="s">
        <v>49</v>
      </c>
      <c r="R12" s="39" t="str">
        <f t="shared" si="3"/>
        <v>X</v>
      </c>
      <c r="S12" s="34"/>
      <c r="T12" s="34" t="str">
        <f>IF('PL1(Full)'!$N12&gt;=20,"x",IF(AND('PL1(Full)'!$N12&gt;=15,'PL1(Full)'!$P12&gt;60),"x",""))</f>
        <v/>
      </c>
      <c r="U12" s="34" t="str">
        <f>IF(AND('PL1(Full)'!$H12="Thôn",'PL1(Full)'!$I12&lt;75),"x",IF(AND('PL1(Full)'!$H12="Tổ",'PL1(Full)'!$I12&lt;100),"x","-"))</f>
        <v>x</v>
      </c>
      <c r="V12" s="34" t="str">
        <f>IF(AND('PL1(Full)'!$H12="Thôn",'PL1(Full)'!$I12&lt;140),"x",IF(AND('PL1(Full)'!$H12="Tổ",'PL1(Full)'!$I12&lt;210),"x","-"))</f>
        <v>x</v>
      </c>
      <c r="W12" s="40" t="str">
        <f t="shared" si="4"/>
        <v>Loại 3</v>
      </c>
      <c r="X12" s="31"/>
    </row>
    <row r="13" spans="1:24" ht="15.75" hidden="1" customHeight="1">
      <c r="A13" s="30">
        <f>_xlfn.AGGREGATE(4,7,A$6:A12)+1</f>
        <v>3</v>
      </c>
      <c r="B13" s="31" t="str">
        <f t="shared" ref="B13:C13" si="10">B12</f>
        <v>H. Ba Bể</v>
      </c>
      <c r="C13" s="31" t="str">
        <f t="shared" si="10"/>
        <v>TT. Chợ Rã</v>
      </c>
      <c r="D13" s="32"/>
      <c r="E13" s="32" t="s">
        <v>36</v>
      </c>
      <c r="F13" s="33" t="s">
        <v>51</v>
      </c>
      <c r="G13" s="32"/>
      <c r="H13" s="32" t="str">
        <f>IF(LEFT('PL1(Full)'!$F13,4)="Thôn","Thôn","Tổ")</f>
        <v>Tổ</v>
      </c>
      <c r="I13" s="35">
        <v>102</v>
      </c>
      <c r="J13" s="36">
        <v>404</v>
      </c>
      <c r="K13" s="36">
        <v>80</v>
      </c>
      <c r="L13" s="37">
        <f t="shared" si="0"/>
        <v>78.431372549019613</v>
      </c>
      <c r="M13" s="35">
        <v>0</v>
      </c>
      <c r="N13" s="38">
        <f t="shared" si="1"/>
        <v>0</v>
      </c>
      <c r="O13" s="36">
        <v>0</v>
      </c>
      <c r="P13" s="38">
        <f t="shared" si="2"/>
        <v>0</v>
      </c>
      <c r="Q13" s="39" t="s">
        <v>52</v>
      </c>
      <c r="R13" s="39" t="str">
        <f t="shared" si="3"/>
        <v>C</v>
      </c>
      <c r="S13" s="34"/>
      <c r="T13" s="34"/>
      <c r="U13" s="34" t="str">
        <f>IF(AND('PL1(Full)'!$H13="Thôn",'PL1(Full)'!$I13&lt;75),"x",IF(AND('PL1(Full)'!$H13="Tổ",'PL1(Full)'!$I13&lt;100),"x","-"))</f>
        <v>-</v>
      </c>
      <c r="V13" s="34" t="str">
        <f>IF(AND('PL1(Full)'!$H13="Thôn",'PL1(Full)'!$I13&lt;140),"x",IF(AND('PL1(Full)'!$H13="Tổ",'PL1(Full)'!$I13&lt;210),"x","-"))</f>
        <v>x</v>
      </c>
      <c r="W13" s="40" t="str">
        <f t="shared" si="4"/>
        <v>Loại 3</v>
      </c>
      <c r="X13" s="31"/>
    </row>
    <row r="14" spans="1:24" ht="15.75" customHeight="1">
      <c r="A14" s="30">
        <f>_xlfn.AGGREGATE(4,7,A$6:A13)+1</f>
        <v>3</v>
      </c>
      <c r="B14" s="31" t="str">
        <f t="shared" ref="B14:C14" si="11">B13</f>
        <v>H. Ba Bể</v>
      </c>
      <c r="C14" s="31" t="str">
        <f t="shared" si="11"/>
        <v>TT. Chợ Rã</v>
      </c>
      <c r="D14" s="32"/>
      <c r="E14" s="32" t="s">
        <v>36</v>
      </c>
      <c r="F14" s="33" t="s">
        <v>53</v>
      </c>
      <c r="G14" s="32"/>
      <c r="H14" s="32" t="str">
        <f>IF(LEFT('PL1(Full)'!$F14,4)="Thôn","Thôn","Tổ")</f>
        <v>Tổ</v>
      </c>
      <c r="I14" s="35">
        <v>93</v>
      </c>
      <c r="J14" s="36">
        <v>394</v>
      </c>
      <c r="K14" s="36">
        <v>85</v>
      </c>
      <c r="L14" s="37">
        <f t="shared" si="0"/>
        <v>91.397849462365585</v>
      </c>
      <c r="M14" s="35">
        <v>4</v>
      </c>
      <c r="N14" s="38">
        <f t="shared" si="1"/>
        <v>4.301075268817204</v>
      </c>
      <c r="O14" s="36">
        <v>2</v>
      </c>
      <c r="P14" s="38">
        <f t="shared" si="2"/>
        <v>50</v>
      </c>
      <c r="Q14" s="39" t="s">
        <v>54</v>
      </c>
      <c r="R14" s="39" t="str">
        <f t="shared" si="3"/>
        <v>X</v>
      </c>
      <c r="S14" s="34"/>
      <c r="T14" s="34" t="str">
        <f>IF('PL1(Full)'!$N14&gt;=20,"x",IF(AND('PL1(Full)'!$N14&gt;=15,'PL1(Full)'!$P14&gt;60),"x",""))</f>
        <v/>
      </c>
      <c r="U14" s="34" t="str">
        <f>IF(AND('PL1(Full)'!$H14="Thôn",'PL1(Full)'!$I14&lt;75),"x",IF(AND('PL1(Full)'!$H14="Tổ",'PL1(Full)'!$I14&lt;100),"x","-"))</f>
        <v>x</v>
      </c>
      <c r="V14" s="34" t="str">
        <f>IF(AND('PL1(Full)'!$H14="Thôn",'PL1(Full)'!$I14&lt;140),"x",IF(AND('PL1(Full)'!$H14="Tổ",'PL1(Full)'!$I14&lt;210),"x","-"))</f>
        <v>x</v>
      </c>
      <c r="W14" s="40" t="str">
        <f t="shared" si="4"/>
        <v>Loại 3</v>
      </c>
      <c r="X14" s="31"/>
    </row>
    <row r="15" spans="1:24" ht="15.75" customHeight="1">
      <c r="A15" s="41">
        <f>_xlfn.AGGREGATE(4,7,A$6:A14)+1</f>
        <v>4</v>
      </c>
      <c r="B15" s="42" t="str">
        <f t="shared" ref="B15:C15" si="12">B14</f>
        <v>H. Ba Bể</v>
      </c>
      <c r="C15" s="42" t="str">
        <f t="shared" si="12"/>
        <v>TT. Chợ Rã</v>
      </c>
      <c r="D15" s="43"/>
      <c r="E15" s="43" t="s">
        <v>36</v>
      </c>
      <c r="F15" s="44" t="s">
        <v>55</v>
      </c>
      <c r="G15" s="43"/>
      <c r="H15" s="43" t="str">
        <f>IF(LEFT('PL1(Full)'!$F15,4)="Thôn","Thôn","Tổ")</f>
        <v>Tổ</v>
      </c>
      <c r="I15" s="45">
        <v>76</v>
      </c>
      <c r="J15" s="46">
        <v>337</v>
      </c>
      <c r="K15" s="46">
        <v>73</v>
      </c>
      <c r="L15" s="47">
        <f t="shared" si="0"/>
        <v>96.05263157894737</v>
      </c>
      <c r="M15" s="45">
        <v>0</v>
      </c>
      <c r="N15" s="48">
        <f t="shared" si="1"/>
        <v>0</v>
      </c>
      <c r="O15" s="46">
        <v>0</v>
      </c>
      <c r="P15" s="48">
        <f t="shared" si="2"/>
        <v>0</v>
      </c>
      <c r="Q15" s="49" t="s">
        <v>56</v>
      </c>
      <c r="R15" s="49" t="str">
        <f t="shared" si="3"/>
        <v>X</v>
      </c>
      <c r="S15" s="50"/>
      <c r="T15" s="50"/>
      <c r="U15" s="50" t="str">
        <f>IF(AND('PL1(Full)'!$H15="Thôn",'PL1(Full)'!$I15&lt;75),"x",IF(AND('PL1(Full)'!$H15="Tổ",'PL1(Full)'!$I15&lt;100),"x","-"))</f>
        <v>x</v>
      </c>
      <c r="V15" s="34" t="str">
        <f>IF(AND('PL1(Full)'!$H15="Thôn",'PL1(Full)'!$I15&lt;140),"x",IF(AND('PL1(Full)'!$H15="Tổ",'PL1(Full)'!$I15&lt;210),"x","-"))</f>
        <v>x</v>
      </c>
      <c r="W15" s="51" t="str">
        <f t="shared" si="4"/>
        <v>Loại 3</v>
      </c>
      <c r="X15" s="42"/>
    </row>
    <row r="16" spans="1:24" ht="15.75" hidden="1" customHeight="1">
      <c r="A16" s="52">
        <f>_xlfn.AGGREGATE(4,7,A$6:A15)+1</f>
        <v>5</v>
      </c>
      <c r="B16" s="14" t="str">
        <f t="shared" ref="B16:B185" si="13">B15</f>
        <v>H. Ba Bể</v>
      </c>
      <c r="C16" s="14" t="s">
        <v>57</v>
      </c>
      <c r="D16" s="25" t="s">
        <v>58</v>
      </c>
      <c r="E16" s="25" t="s">
        <v>58</v>
      </c>
      <c r="F16" s="14" t="s">
        <v>59</v>
      </c>
      <c r="G16" s="25"/>
      <c r="H16" s="25" t="str">
        <f>IF(LEFT('PL1(Full)'!$F16,4)="Thôn","Thôn","Tổ")</f>
        <v>Thôn</v>
      </c>
      <c r="I16" s="20">
        <v>92</v>
      </c>
      <c r="J16" s="20">
        <v>427</v>
      </c>
      <c r="K16" s="20">
        <v>90</v>
      </c>
      <c r="L16" s="21">
        <f t="shared" si="0"/>
        <v>97.826086956521735</v>
      </c>
      <c r="M16" s="20">
        <v>21</v>
      </c>
      <c r="N16" s="22">
        <f t="shared" si="1"/>
        <v>22.826086956521738</v>
      </c>
      <c r="O16" s="20">
        <v>21</v>
      </c>
      <c r="P16" s="22">
        <f t="shared" si="2"/>
        <v>100</v>
      </c>
      <c r="Q16" s="39" t="s">
        <v>49</v>
      </c>
      <c r="R16" s="24" t="str">
        <f t="shared" si="3"/>
        <v>X</v>
      </c>
      <c r="S16" s="25" t="s">
        <v>60</v>
      </c>
      <c r="T16" s="26" t="str">
        <f>IF('PL1(Full)'!$N16&gt;=20,"x",IF(AND('PL1(Full)'!$N16&gt;=15,'PL1(Full)'!$P16&gt;60),"x",""))</f>
        <v>x</v>
      </c>
      <c r="U16" s="27" t="str">
        <f>IF(AND('PL1(Full)'!$H16="Thôn",'PL1(Full)'!$I16&lt;75),"x",IF(AND('PL1(Full)'!$H16="Tổ",'PL1(Full)'!$I16&lt;100),"x","-"))</f>
        <v>-</v>
      </c>
      <c r="V16" s="28" t="str">
        <f>IF(AND('PL1(Full)'!$H16="Thôn",'PL1(Full)'!$I16&lt;140),"x",IF(AND('PL1(Full)'!$H16="Tổ",'PL1(Full)'!$I16&lt;210),"x","-"))</f>
        <v>x</v>
      </c>
      <c r="W16" s="29" t="str">
        <f t="shared" ref="W16:W190" si="14">IF(I16&gt;=150,"Loại 1",IF(I16&gt;=100,"Loại 2","Loại 3"))</f>
        <v>Loại 3</v>
      </c>
      <c r="X16" s="14"/>
    </row>
    <row r="17" spans="1:24" ht="15.75" customHeight="1">
      <c r="A17" s="30">
        <f>_xlfn.AGGREGATE(4,7,A$6:A16)+1</f>
        <v>5</v>
      </c>
      <c r="B17" s="31" t="str">
        <f t="shared" si="13"/>
        <v>H. Ba Bể</v>
      </c>
      <c r="C17" s="31" t="str">
        <f t="shared" ref="C17:C28" si="15">C16</f>
        <v>X. Bành Trạch</v>
      </c>
      <c r="D17" s="34"/>
      <c r="E17" s="34" t="s">
        <v>58</v>
      </c>
      <c r="F17" s="31" t="s">
        <v>61</v>
      </c>
      <c r="G17" s="34"/>
      <c r="H17" s="34" t="str">
        <f>IF(LEFT('PL1(Full)'!$F17,4)="Thôn","Thôn","Tổ")</f>
        <v>Thôn</v>
      </c>
      <c r="I17" s="36">
        <v>46</v>
      </c>
      <c r="J17" s="36">
        <v>217</v>
      </c>
      <c r="K17" s="36">
        <v>46</v>
      </c>
      <c r="L17" s="37">
        <f t="shared" si="0"/>
        <v>100</v>
      </c>
      <c r="M17" s="36">
        <v>22</v>
      </c>
      <c r="N17" s="38">
        <f t="shared" si="1"/>
        <v>47.826086956521742</v>
      </c>
      <c r="O17" s="36">
        <v>22</v>
      </c>
      <c r="P17" s="38">
        <f t="shared" si="2"/>
        <v>100</v>
      </c>
      <c r="Q17" s="39" t="s">
        <v>56</v>
      </c>
      <c r="R17" s="39" t="str">
        <f t="shared" si="3"/>
        <v>X</v>
      </c>
      <c r="S17" s="34" t="s">
        <v>60</v>
      </c>
      <c r="T17" s="34" t="str">
        <f>IF('PL1(Full)'!$N17&gt;=20,"x",IF(AND('PL1(Full)'!$N17&gt;=15,'PL1(Full)'!$P17&gt;60),"x",""))</f>
        <v>x</v>
      </c>
      <c r="U17" s="34" t="str">
        <f>IF(AND('PL1(Full)'!$H17="Thôn",'PL1(Full)'!$I17&lt;75),"x",IF(AND('PL1(Full)'!$H17="Tổ",'PL1(Full)'!$I17&lt;100),"x","-"))</f>
        <v>x</v>
      </c>
      <c r="V17" s="34" t="str">
        <f>IF(AND('PL1(Full)'!$H17="Thôn",'PL1(Full)'!$I17&lt;140),"x",IF(AND('PL1(Full)'!$H17="Tổ",'PL1(Full)'!$I17&lt;210),"x","-"))</f>
        <v>x</v>
      </c>
      <c r="W17" s="40" t="str">
        <f t="shared" si="14"/>
        <v>Loại 3</v>
      </c>
      <c r="X17" s="31"/>
    </row>
    <row r="18" spans="1:24" ht="15.75" customHeight="1">
      <c r="A18" s="30">
        <f>_xlfn.AGGREGATE(4,7,A$6:A17)+1</f>
        <v>6</v>
      </c>
      <c r="B18" s="31" t="str">
        <f t="shared" si="13"/>
        <v>H. Ba Bể</v>
      </c>
      <c r="C18" s="31" t="str">
        <f t="shared" si="15"/>
        <v>X. Bành Trạch</v>
      </c>
      <c r="D18" s="34"/>
      <c r="E18" s="34" t="s">
        <v>58</v>
      </c>
      <c r="F18" s="31" t="s">
        <v>62</v>
      </c>
      <c r="G18" s="34"/>
      <c r="H18" s="34" t="str">
        <f>IF(LEFT('PL1(Full)'!$F18,4)="Thôn","Thôn","Tổ")</f>
        <v>Thôn</v>
      </c>
      <c r="I18" s="36">
        <v>35</v>
      </c>
      <c r="J18" s="36">
        <v>167</v>
      </c>
      <c r="K18" s="36">
        <v>35</v>
      </c>
      <c r="L18" s="37">
        <f t="shared" si="0"/>
        <v>100</v>
      </c>
      <c r="M18" s="36">
        <v>29</v>
      </c>
      <c r="N18" s="38">
        <f t="shared" si="1"/>
        <v>82.857142857142861</v>
      </c>
      <c r="O18" s="36">
        <v>29</v>
      </c>
      <c r="P18" s="38">
        <f t="shared" si="2"/>
        <v>100</v>
      </c>
      <c r="Q18" s="39" t="s">
        <v>63</v>
      </c>
      <c r="R18" s="39" t="str">
        <f t="shared" si="3"/>
        <v>X</v>
      </c>
      <c r="S18" s="34" t="s">
        <v>60</v>
      </c>
      <c r="T18" s="34" t="str">
        <f>IF('PL1(Full)'!$N18&gt;=20,"x",IF(AND('PL1(Full)'!$N18&gt;=15,'PL1(Full)'!$P18&gt;60),"x",""))</f>
        <v>x</v>
      </c>
      <c r="U18" s="34" t="str">
        <f>IF(AND('PL1(Full)'!$H18="Thôn",'PL1(Full)'!$I18&lt;75),"x",IF(AND('PL1(Full)'!$H18="Tổ",'PL1(Full)'!$I18&lt;100),"x","-"))</f>
        <v>x</v>
      </c>
      <c r="V18" s="34" t="str">
        <f>IF(AND('PL1(Full)'!$H18="Thôn",'PL1(Full)'!$I18&lt;140),"x",IF(AND('PL1(Full)'!$H18="Tổ",'PL1(Full)'!$I18&lt;210),"x","-"))</f>
        <v>x</v>
      </c>
      <c r="W18" s="40" t="str">
        <f t="shared" si="14"/>
        <v>Loại 3</v>
      </c>
      <c r="X18" s="31"/>
    </row>
    <row r="19" spans="1:24" ht="15.75" customHeight="1">
      <c r="A19" s="30">
        <f>_xlfn.AGGREGATE(4,7,A$6:A18)+1</f>
        <v>7</v>
      </c>
      <c r="B19" s="31" t="str">
        <f t="shared" si="13"/>
        <v>H. Ba Bể</v>
      </c>
      <c r="C19" s="31" t="str">
        <f t="shared" si="15"/>
        <v>X. Bành Trạch</v>
      </c>
      <c r="D19" s="34"/>
      <c r="E19" s="34" t="s">
        <v>58</v>
      </c>
      <c r="F19" s="31" t="s">
        <v>64</v>
      </c>
      <c r="G19" s="34"/>
      <c r="H19" s="34" t="str">
        <f>IF(LEFT('PL1(Full)'!$F19,4)="Thôn","Thôn","Tổ")</f>
        <v>Thôn</v>
      </c>
      <c r="I19" s="36">
        <v>54</v>
      </c>
      <c r="J19" s="36">
        <v>206</v>
      </c>
      <c r="K19" s="36">
        <v>48</v>
      </c>
      <c r="L19" s="37">
        <f t="shared" si="0"/>
        <v>88.888888888888886</v>
      </c>
      <c r="M19" s="36">
        <v>22</v>
      </c>
      <c r="N19" s="38">
        <f t="shared" si="1"/>
        <v>40.74074074074074</v>
      </c>
      <c r="O19" s="36">
        <v>22</v>
      </c>
      <c r="P19" s="38">
        <f t="shared" si="2"/>
        <v>100</v>
      </c>
      <c r="Q19" s="39" t="s">
        <v>56</v>
      </c>
      <c r="R19" s="39" t="str">
        <f t="shared" si="3"/>
        <v>X</v>
      </c>
      <c r="S19" s="34" t="s">
        <v>60</v>
      </c>
      <c r="T19" s="34" t="str">
        <f>IF('PL1(Full)'!$N19&gt;=20,"x",IF(AND('PL1(Full)'!$N19&gt;=15,'PL1(Full)'!$P19&gt;60),"x",""))</f>
        <v>x</v>
      </c>
      <c r="U19" s="34" t="str">
        <f>IF(AND('PL1(Full)'!$H19="Thôn",'PL1(Full)'!$I19&lt;75),"x",IF(AND('PL1(Full)'!$H19="Tổ",'PL1(Full)'!$I19&lt;100),"x","-"))</f>
        <v>x</v>
      </c>
      <c r="V19" s="34" t="str">
        <f>IF(AND('PL1(Full)'!$H19="Thôn",'PL1(Full)'!$I19&lt;140),"x",IF(AND('PL1(Full)'!$H19="Tổ",'PL1(Full)'!$I19&lt;210),"x","-"))</f>
        <v>x</v>
      </c>
      <c r="W19" s="40" t="str">
        <f t="shared" si="14"/>
        <v>Loại 3</v>
      </c>
      <c r="X19" s="31"/>
    </row>
    <row r="20" spans="1:24" ht="15.75" customHeight="1">
      <c r="A20" s="30">
        <f>_xlfn.AGGREGATE(4,7,A$6:A19)+1</f>
        <v>8</v>
      </c>
      <c r="B20" s="31" t="str">
        <f t="shared" si="13"/>
        <v>H. Ba Bể</v>
      </c>
      <c r="C20" s="31" t="str">
        <f t="shared" si="15"/>
        <v>X. Bành Trạch</v>
      </c>
      <c r="D20" s="34"/>
      <c r="E20" s="34" t="s">
        <v>58</v>
      </c>
      <c r="F20" s="31" t="s">
        <v>65</v>
      </c>
      <c r="G20" s="34"/>
      <c r="H20" s="34" t="str">
        <f>IF(LEFT('PL1(Full)'!$F20,4)="Thôn","Thôn","Tổ")</f>
        <v>Thôn</v>
      </c>
      <c r="I20" s="36">
        <v>49</v>
      </c>
      <c r="J20" s="36">
        <v>224</v>
      </c>
      <c r="K20" s="36">
        <v>45</v>
      </c>
      <c r="L20" s="37">
        <f t="shared" si="0"/>
        <v>91.836734693877546</v>
      </c>
      <c r="M20" s="36">
        <v>10</v>
      </c>
      <c r="N20" s="38">
        <f t="shared" si="1"/>
        <v>20.408163265306122</v>
      </c>
      <c r="O20" s="36">
        <v>9</v>
      </c>
      <c r="P20" s="38">
        <f t="shared" si="2"/>
        <v>90</v>
      </c>
      <c r="Q20" s="39" t="s">
        <v>56</v>
      </c>
      <c r="R20" s="39" t="str">
        <f t="shared" si="3"/>
        <v>X</v>
      </c>
      <c r="S20" s="34"/>
      <c r="T20" s="34" t="str">
        <f>IF('PL1(Full)'!$N20&gt;=20,"x",IF(AND('PL1(Full)'!$N20&gt;=15,'PL1(Full)'!$P20&gt;60),"x",""))</f>
        <v>x</v>
      </c>
      <c r="U20" s="34" t="str">
        <f>IF(AND('PL1(Full)'!$H20="Thôn",'PL1(Full)'!$I20&lt;75),"x",IF(AND('PL1(Full)'!$H20="Tổ",'PL1(Full)'!$I20&lt;100),"x","-"))</f>
        <v>x</v>
      </c>
      <c r="V20" s="34" t="str">
        <f>IF(AND('PL1(Full)'!$H20="Thôn",'PL1(Full)'!$I20&lt;140),"x",IF(AND('PL1(Full)'!$H20="Tổ",'PL1(Full)'!$I20&lt;210),"x","-"))</f>
        <v>x</v>
      </c>
      <c r="W20" s="40" t="str">
        <f t="shared" si="14"/>
        <v>Loại 3</v>
      </c>
      <c r="X20" s="31"/>
    </row>
    <row r="21" spans="1:24" ht="15.75" customHeight="1">
      <c r="A21" s="30">
        <f>_xlfn.AGGREGATE(4,7,A$6:A20)+1</f>
        <v>9</v>
      </c>
      <c r="B21" s="31" t="str">
        <f t="shared" si="13"/>
        <v>H. Ba Bể</v>
      </c>
      <c r="C21" s="31" t="str">
        <f t="shared" si="15"/>
        <v>X. Bành Trạch</v>
      </c>
      <c r="D21" s="34"/>
      <c r="E21" s="34" t="s">
        <v>58</v>
      </c>
      <c r="F21" s="31" t="s">
        <v>66</v>
      </c>
      <c r="G21" s="34"/>
      <c r="H21" s="34" t="str">
        <f>IF(LEFT('PL1(Full)'!$F21,4)="Thôn","Thôn","Tổ")</f>
        <v>Thôn</v>
      </c>
      <c r="I21" s="36">
        <v>70</v>
      </c>
      <c r="J21" s="36">
        <v>328</v>
      </c>
      <c r="K21" s="36">
        <v>69</v>
      </c>
      <c r="L21" s="37">
        <f t="shared" si="0"/>
        <v>98.571428571428569</v>
      </c>
      <c r="M21" s="36">
        <v>35</v>
      </c>
      <c r="N21" s="38">
        <f t="shared" si="1"/>
        <v>50</v>
      </c>
      <c r="O21" s="36">
        <v>34</v>
      </c>
      <c r="P21" s="38">
        <f t="shared" si="2"/>
        <v>97.142857142857139</v>
      </c>
      <c r="Q21" s="39" t="s">
        <v>56</v>
      </c>
      <c r="R21" s="39" t="str">
        <f t="shared" si="3"/>
        <v>X</v>
      </c>
      <c r="S21" s="34" t="s">
        <v>60</v>
      </c>
      <c r="T21" s="34" t="str">
        <f>IF('PL1(Full)'!$N21&gt;=20,"x",IF(AND('PL1(Full)'!$N21&gt;=15,'PL1(Full)'!$P21&gt;60),"x",""))</f>
        <v>x</v>
      </c>
      <c r="U21" s="34" t="str">
        <f>IF(AND('PL1(Full)'!$H21="Thôn",'PL1(Full)'!$I21&lt;75),"x",IF(AND('PL1(Full)'!$H21="Tổ",'PL1(Full)'!$I21&lt;100),"x","-"))</f>
        <v>x</v>
      </c>
      <c r="V21" s="34" t="str">
        <f>IF(AND('PL1(Full)'!$H21="Thôn",'PL1(Full)'!$I21&lt;140),"x",IF(AND('PL1(Full)'!$H21="Tổ",'PL1(Full)'!$I21&lt;210),"x","-"))</f>
        <v>x</v>
      </c>
      <c r="W21" s="40" t="str">
        <f t="shared" si="14"/>
        <v>Loại 3</v>
      </c>
      <c r="X21" s="31"/>
    </row>
    <row r="22" spans="1:24" ht="15.75" customHeight="1">
      <c r="A22" s="30">
        <f>_xlfn.AGGREGATE(4,7,A$6:A21)+1</f>
        <v>10</v>
      </c>
      <c r="B22" s="31" t="str">
        <f t="shared" si="13"/>
        <v>H. Ba Bể</v>
      </c>
      <c r="C22" s="31" t="str">
        <f t="shared" si="15"/>
        <v>X. Bành Trạch</v>
      </c>
      <c r="D22" s="34"/>
      <c r="E22" s="34" t="s">
        <v>58</v>
      </c>
      <c r="F22" s="31" t="s">
        <v>67</v>
      </c>
      <c r="G22" s="34"/>
      <c r="H22" s="34" t="str">
        <f>IF(LEFT('PL1(Full)'!$F22,4)="Thôn","Thôn","Tổ")</f>
        <v>Thôn</v>
      </c>
      <c r="I22" s="36">
        <v>58</v>
      </c>
      <c r="J22" s="36">
        <v>235</v>
      </c>
      <c r="K22" s="36">
        <v>58</v>
      </c>
      <c r="L22" s="37">
        <f t="shared" si="0"/>
        <v>100</v>
      </c>
      <c r="M22" s="36">
        <v>13</v>
      </c>
      <c r="N22" s="38">
        <f t="shared" si="1"/>
        <v>22.413793103448278</v>
      </c>
      <c r="O22" s="36">
        <v>13</v>
      </c>
      <c r="P22" s="38">
        <f t="shared" si="2"/>
        <v>100</v>
      </c>
      <c r="Q22" s="39" t="s">
        <v>56</v>
      </c>
      <c r="R22" s="39" t="str">
        <f t="shared" si="3"/>
        <v>X</v>
      </c>
      <c r="S22" s="34" t="s">
        <v>60</v>
      </c>
      <c r="T22" s="34" t="str">
        <f>IF('PL1(Full)'!$N22&gt;=20,"x",IF(AND('PL1(Full)'!$N22&gt;=15,'PL1(Full)'!$P22&gt;60),"x",""))</f>
        <v>x</v>
      </c>
      <c r="U22" s="34" t="str">
        <f>IF(AND('PL1(Full)'!$H22="Thôn",'PL1(Full)'!$I22&lt;75),"x",IF(AND('PL1(Full)'!$H22="Tổ",'PL1(Full)'!$I22&lt;100),"x","-"))</f>
        <v>x</v>
      </c>
      <c r="V22" s="34" t="str">
        <f>IF(AND('PL1(Full)'!$H22="Thôn",'PL1(Full)'!$I22&lt;140),"x",IF(AND('PL1(Full)'!$H22="Tổ",'PL1(Full)'!$I22&lt;210),"x","-"))</f>
        <v>x</v>
      </c>
      <c r="W22" s="40" t="str">
        <f t="shared" si="14"/>
        <v>Loại 3</v>
      </c>
      <c r="X22" s="31"/>
    </row>
    <row r="23" spans="1:24" ht="15.75" customHeight="1">
      <c r="A23" s="30">
        <f>_xlfn.AGGREGATE(4,7,A$6:A22)+1</f>
        <v>11</v>
      </c>
      <c r="B23" s="31" t="str">
        <f t="shared" si="13"/>
        <v>H. Ba Bể</v>
      </c>
      <c r="C23" s="31" t="str">
        <f t="shared" si="15"/>
        <v>X. Bành Trạch</v>
      </c>
      <c r="D23" s="34"/>
      <c r="E23" s="34" t="s">
        <v>58</v>
      </c>
      <c r="F23" s="31" t="s">
        <v>68</v>
      </c>
      <c r="G23" s="34"/>
      <c r="H23" s="34" t="str">
        <f>IF(LEFT('PL1(Full)'!$F23,4)="Thôn","Thôn","Tổ")</f>
        <v>Thôn</v>
      </c>
      <c r="I23" s="36">
        <v>32</v>
      </c>
      <c r="J23" s="36">
        <v>150</v>
      </c>
      <c r="K23" s="36">
        <v>31</v>
      </c>
      <c r="L23" s="37">
        <f t="shared" si="0"/>
        <v>96.875</v>
      </c>
      <c r="M23" s="36">
        <v>9</v>
      </c>
      <c r="N23" s="38">
        <f t="shared" si="1"/>
        <v>28.125</v>
      </c>
      <c r="O23" s="36">
        <v>9</v>
      </c>
      <c r="P23" s="38">
        <f t="shared" si="2"/>
        <v>100</v>
      </c>
      <c r="Q23" s="39" t="s">
        <v>63</v>
      </c>
      <c r="R23" s="39" t="str">
        <f t="shared" si="3"/>
        <v>X</v>
      </c>
      <c r="S23" s="34" t="s">
        <v>60</v>
      </c>
      <c r="T23" s="34" t="str">
        <f>IF('PL1(Full)'!$N23&gt;=20,"x",IF(AND('PL1(Full)'!$N23&gt;=15,'PL1(Full)'!$P23&gt;60),"x",""))</f>
        <v>x</v>
      </c>
      <c r="U23" s="34" t="str">
        <f>IF(AND('PL1(Full)'!$H23="Thôn",'PL1(Full)'!$I23&lt;75),"x",IF(AND('PL1(Full)'!$H23="Tổ",'PL1(Full)'!$I23&lt;100),"x","-"))</f>
        <v>x</v>
      </c>
      <c r="V23" s="34" t="str">
        <f>IF(AND('PL1(Full)'!$H23="Thôn",'PL1(Full)'!$I23&lt;140),"x",IF(AND('PL1(Full)'!$H23="Tổ",'PL1(Full)'!$I23&lt;210),"x","-"))</f>
        <v>x</v>
      </c>
      <c r="W23" s="40" t="str">
        <f t="shared" si="14"/>
        <v>Loại 3</v>
      </c>
      <c r="X23" s="31"/>
    </row>
    <row r="24" spans="1:24" ht="15.75" customHeight="1">
      <c r="A24" s="30">
        <f>_xlfn.AGGREGATE(4,7,A$6:A23)+1</f>
        <v>12</v>
      </c>
      <c r="B24" s="31" t="str">
        <f t="shared" si="13"/>
        <v>H. Ba Bể</v>
      </c>
      <c r="C24" s="31" t="str">
        <f t="shared" si="15"/>
        <v>X. Bành Trạch</v>
      </c>
      <c r="D24" s="34"/>
      <c r="E24" s="34" t="s">
        <v>58</v>
      </c>
      <c r="F24" s="31" t="s">
        <v>69</v>
      </c>
      <c r="G24" s="34"/>
      <c r="H24" s="34" t="str">
        <f>IF(LEFT('PL1(Full)'!$F24,4)="Thôn","Thôn","Tổ")</f>
        <v>Thôn</v>
      </c>
      <c r="I24" s="36">
        <v>57</v>
      </c>
      <c r="J24" s="36">
        <v>293</v>
      </c>
      <c r="K24" s="36">
        <v>51</v>
      </c>
      <c r="L24" s="37">
        <f t="shared" si="0"/>
        <v>89.473684210526315</v>
      </c>
      <c r="M24" s="36">
        <v>15</v>
      </c>
      <c r="N24" s="38">
        <f t="shared" si="1"/>
        <v>26.315789473684209</v>
      </c>
      <c r="O24" s="36">
        <v>14</v>
      </c>
      <c r="P24" s="38">
        <f t="shared" si="2"/>
        <v>93.333333333333329</v>
      </c>
      <c r="Q24" s="39" t="s">
        <v>56</v>
      </c>
      <c r="R24" s="39" t="str">
        <f t="shared" si="3"/>
        <v>X</v>
      </c>
      <c r="S24" s="34" t="s">
        <v>60</v>
      </c>
      <c r="T24" s="34" t="str">
        <f>IF('PL1(Full)'!$N24&gt;=20,"x",IF(AND('PL1(Full)'!$N24&gt;=15,'PL1(Full)'!$P24&gt;60),"x",""))</f>
        <v>x</v>
      </c>
      <c r="U24" s="34" t="str">
        <f>IF(AND('PL1(Full)'!$H24="Thôn",'PL1(Full)'!$I24&lt;75),"x",IF(AND('PL1(Full)'!$H24="Tổ",'PL1(Full)'!$I24&lt;100),"x","-"))</f>
        <v>x</v>
      </c>
      <c r="V24" s="34" t="str">
        <f>IF(AND('PL1(Full)'!$H24="Thôn",'PL1(Full)'!$I24&lt;140),"x",IF(AND('PL1(Full)'!$H24="Tổ",'PL1(Full)'!$I24&lt;210),"x","-"))</f>
        <v>x</v>
      </c>
      <c r="W24" s="40" t="str">
        <f t="shared" si="14"/>
        <v>Loại 3</v>
      </c>
      <c r="X24" s="31"/>
    </row>
    <row r="25" spans="1:24" ht="15.75" hidden="1" customHeight="1">
      <c r="A25" s="30">
        <f>_xlfn.AGGREGATE(4,7,A$6:A24)+1</f>
        <v>13</v>
      </c>
      <c r="B25" s="31" t="str">
        <f t="shared" si="13"/>
        <v>H. Ba Bể</v>
      </c>
      <c r="C25" s="31" t="str">
        <f t="shared" si="15"/>
        <v>X. Bành Trạch</v>
      </c>
      <c r="D25" s="34"/>
      <c r="E25" s="34" t="s">
        <v>58</v>
      </c>
      <c r="F25" s="31" t="s">
        <v>70</v>
      </c>
      <c r="G25" s="34"/>
      <c r="H25" s="34" t="str">
        <f>IF(LEFT('PL1(Full)'!$F25,4)="Thôn","Thôn","Tổ")</f>
        <v>Thôn</v>
      </c>
      <c r="I25" s="36">
        <v>77</v>
      </c>
      <c r="J25" s="36">
        <v>321</v>
      </c>
      <c r="K25" s="36">
        <v>70</v>
      </c>
      <c r="L25" s="37">
        <f t="shared" si="0"/>
        <v>90.909090909090907</v>
      </c>
      <c r="M25" s="36">
        <v>14</v>
      </c>
      <c r="N25" s="38">
        <f t="shared" si="1"/>
        <v>18.181818181818183</v>
      </c>
      <c r="O25" s="36">
        <v>13</v>
      </c>
      <c r="P25" s="38">
        <f t="shared" si="2"/>
        <v>92.857142857142861</v>
      </c>
      <c r="Q25" s="39" t="s">
        <v>49</v>
      </c>
      <c r="R25" s="39" t="str">
        <f t="shared" si="3"/>
        <v>X</v>
      </c>
      <c r="S25" s="34"/>
      <c r="T25" s="34" t="str">
        <f>IF('PL1(Full)'!$N25&gt;=20,"x",IF(AND('PL1(Full)'!$N25&gt;=15,'PL1(Full)'!$P25&gt;60),"x",""))</f>
        <v>x</v>
      </c>
      <c r="U25" s="34" t="str">
        <f>IF(AND('PL1(Full)'!$H25="Thôn",'PL1(Full)'!$I25&lt;75),"x",IF(AND('PL1(Full)'!$H25="Tổ",'PL1(Full)'!$I25&lt;100),"x","-"))</f>
        <v>-</v>
      </c>
      <c r="V25" s="34" t="str">
        <f>IF(AND('PL1(Full)'!$H25="Thôn",'PL1(Full)'!$I25&lt;140),"x",IF(AND('PL1(Full)'!$H25="Tổ",'PL1(Full)'!$I25&lt;210),"x","-"))</f>
        <v>x</v>
      </c>
      <c r="W25" s="40" t="str">
        <f t="shared" si="14"/>
        <v>Loại 3</v>
      </c>
      <c r="X25" s="31"/>
    </row>
    <row r="26" spans="1:24" ht="15.75" customHeight="1">
      <c r="A26" s="30">
        <f>_xlfn.AGGREGATE(4,7,A$6:A25)+1</f>
        <v>13</v>
      </c>
      <c r="B26" s="31" t="str">
        <f t="shared" si="13"/>
        <v>H. Ba Bể</v>
      </c>
      <c r="C26" s="31" t="str">
        <f t="shared" si="15"/>
        <v>X. Bành Trạch</v>
      </c>
      <c r="D26" s="34"/>
      <c r="E26" s="34" t="s">
        <v>58</v>
      </c>
      <c r="F26" s="31" t="s">
        <v>71</v>
      </c>
      <c r="G26" s="34"/>
      <c r="H26" s="34" t="str">
        <f>IF(LEFT('PL1(Full)'!$F26,4)="Thôn","Thôn","Tổ")</f>
        <v>Thôn</v>
      </c>
      <c r="I26" s="36">
        <v>60</v>
      </c>
      <c r="J26" s="36">
        <v>218</v>
      </c>
      <c r="K26" s="36">
        <v>59</v>
      </c>
      <c r="L26" s="37">
        <f t="shared" si="0"/>
        <v>98.333333333333329</v>
      </c>
      <c r="M26" s="36">
        <v>15</v>
      </c>
      <c r="N26" s="38">
        <f t="shared" si="1"/>
        <v>25</v>
      </c>
      <c r="O26" s="36">
        <v>14</v>
      </c>
      <c r="P26" s="38">
        <f t="shared" si="2"/>
        <v>93.333333333333329</v>
      </c>
      <c r="Q26" s="39" t="s">
        <v>56</v>
      </c>
      <c r="R26" s="39" t="str">
        <f t="shared" si="3"/>
        <v>X</v>
      </c>
      <c r="S26" s="34" t="s">
        <v>60</v>
      </c>
      <c r="T26" s="34" t="str">
        <f>IF('PL1(Full)'!$N26&gt;=20,"x",IF(AND('PL1(Full)'!$N26&gt;=15,'PL1(Full)'!$P26&gt;60),"x",""))</f>
        <v>x</v>
      </c>
      <c r="U26" s="34" t="str">
        <f>IF(AND('PL1(Full)'!$H26="Thôn",'PL1(Full)'!$I26&lt;75),"x",IF(AND('PL1(Full)'!$H26="Tổ",'PL1(Full)'!$I26&lt;100),"x","-"))</f>
        <v>x</v>
      </c>
      <c r="V26" s="34" t="str">
        <f>IF(AND('PL1(Full)'!$H26="Thôn",'PL1(Full)'!$I26&lt;140),"x",IF(AND('PL1(Full)'!$H26="Tổ",'PL1(Full)'!$I26&lt;210),"x","-"))</f>
        <v>x</v>
      </c>
      <c r="W26" s="40" t="str">
        <f t="shared" si="14"/>
        <v>Loại 3</v>
      </c>
      <c r="X26" s="31"/>
    </row>
    <row r="27" spans="1:24" ht="15.75" customHeight="1">
      <c r="A27" s="30">
        <f>_xlfn.AGGREGATE(4,7,A$6:A26)+1</f>
        <v>14</v>
      </c>
      <c r="B27" s="31" t="str">
        <f t="shared" si="13"/>
        <v>H. Ba Bể</v>
      </c>
      <c r="C27" s="31" t="str">
        <f t="shared" si="15"/>
        <v>X. Bành Trạch</v>
      </c>
      <c r="D27" s="32"/>
      <c r="E27" s="32" t="s">
        <v>58</v>
      </c>
      <c r="F27" s="33" t="s">
        <v>72</v>
      </c>
      <c r="G27" s="32"/>
      <c r="H27" s="32" t="str">
        <f>IF(LEFT('PL1(Full)'!$F27,4)="Thôn","Thôn","Tổ")</f>
        <v>Thôn</v>
      </c>
      <c r="I27" s="36">
        <v>60</v>
      </c>
      <c r="J27" s="36">
        <v>294</v>
      </c>
      <c r="K27" s="36">
        <v>60</v>
      </c>
      <c r="L27" s="37">
        <f t="shared" si="0"/>
        <v>100</v>
      </c>
      <c r="M27" s="36">
        <v>25</v>
      </c>
      <c r="N27" s="38">
        <f t="shared" si="1"/>
        <v>41.666666666666664</v>
      </c>
      <c r="O27" s="36">
        <v>25</v>
      </c>
      <c r="P27" s="38">
        <f t="shared" si="2"/>
        <v>100</v>
      </c>
      <c r="Q27" s="39" t="s">
        <v>56</v>
      </c>
      <c r="R27" s="39" t="str">
        <f t="shared" si="3"/>
        <v>X</v>
      </c>
      <c r="S27" s="34" t="s">
        <v>60</v>
      </c>
      <c r="T27" s="34" t="str">
        <f>IF('PL1(Full)'!$N27&gt;=20,"x",IF(AND('PL1(Full)'!$N27&gt;=15,'PL1(Full)'!$P27&gt;60),"x",""))</f>
        <v>x</v>
      </c>
      <c r="U27" s="34" t="str">
        <f>IF(AND('PL1(Full)'!$H27="Thôn",'PL1(Full)'!$I27&lt;75),"x",IF(AND('PL1(Full)'!$H27="Tổ",'PL1(Full)'!$I27&lt;100),"x","-"))</f>
        <v>x</v>
      </c>
      <c r="V27" s="34" t="str">
        <f>IF(AND('PL1(Full)'!$H27="Thôn",'PL1(Full)'!$I27&lt;140),"x",IF(AND('PL1(Full)'!$H27="Tổ",'PL1(Full)'!$I27&lt;210),"x","-"))</f>
        <v>x</v>
      </c>
      <c r="W27" s="40" t="str">
        <f t="shared" si="14"/>
        <v>Loại 3</v>
      </c>
      <c r="X27" s="31"/>
    </row>
    <row r="28" spans="1:24" ht="15.75" customHeight="1">
      <c r="A28" s="41">
        <f>_xlfn.AGGREGATE(4,7,A$6:A27)+1</f>
        <v>15</v>
      </c>
      <c r="B28" s="42" t="str">
        <f t="shared" si="13"/>
        <v>H. Ba Bể</v>
      </c>
      <c r="C28" s="42" t="str">
        <f t="shared" si="15"/>
        <v>X. Bành Trạch</v>
      </c>
      <c r="D28" s="50"/>
      <c r="E28" s="50" t="s">
        <v>58</v>
      </c>
      <c r="F28" s="42" t="s">
        <v>73</v>
      </c>
      <c r="G28" s="50"/>
      <c r="H28" s="50" t="str">
        <f>IF(LEFT('PL1(Full)'!$F28,4)="Thôn","Thôn","Tổ")</f>
        <v>Thôn</v>
      </c>
      <c r="I28" s="46">
        <v>46</v>
      </c>
      <c r="J28" s="46">
        <v>221</v>
      </c>
      <c r="K28" s="46">
        <v>46</v>
      </c>
      <c r="L28" s="47">
        <f t="shared" si="0"/>
        <v>100</v>
      </c>
      <c r="M28" s="46">
        <v>37</v>
      </c>
      <c r="N28" s="48">
        <f t="shared" si="1"/>
        <v>80.434782608695656</v>
      </c>
      <c r="O28" s="46">
        <v>37</v>
      </c>
      <c r="P28" s="48">
        <f t="shared" si="2"/>
        <v>100</v>
      </c>
      <c r="Q28" s="49" t="s">
        <v>63</v>
      </c>
      <c r="R28" s="49" t="str">
        <f t="shared" si="3"/>
        <v>X</v>
      </c>
      <c r="S28" s="50" t="s">
        <v>60</v>
      </c>
      <c r="T28" s="50" t="str">
        <f>IF('PL1(Full)'!$N28&gt;=20,"x",IF(AND('PL1(Full)'!$N28&gt;=15,'PL1(Full)'!$P28&gt;60),"x",""))</f>
        <v>x</v>
      </c>
      <c r="U28" s="50" t="str">
        <f>IF(AND('PL1(Full)'!$H28="Thôn",'PL1(Full)'!$I28&lt;75),"x",IF(AND('PL1(Full)'!$H28="Tổ",'PL1(Full)'!$I28&lt;100),"x","-"))</f>
        <v>x</v>
      </c>
      <c r="V28" s="34" t="str">
        <f>IF(AND('PL1(Full)'!$H28="Thôn",'PL1(Full)'!$I28&lt;140),"x",IF(AND('PL1(Full)'!$H28="Tổ",'PL1(Full)'!$I28&lt;210),"x","-"))</f>
        <v>x</v>
      </c>
      <c r="W28" s="51" t="str">
        <f t="shared" si="14"/>
        <v>Loại 3</v>
      </c>
      <c r="X28" s="42"/>
    </row>
    <row r="29" spans="1:24" ht="15.75" hidden="1" customHeight="1">
      <c r="A29" s="52">
        <f>_xlfn.AGGREGATE(4,7,A$6:A28)+1</f>
        <v>16</v>
      </c>
      <c r="B29" s="14" t="str">
        <f t="shared" si="13"/>
        <v>H. Ba Bể</v>
      </c>
      <c r="C29" s="14" t="s">
        <v>74</v>
      </c>
      <c r="D29" s="25" t="s">
        <v>58</v>
      </c>
      <c r="E29" s="25" t="s">
        <v>58</v>
      </c>
      <c r="F29" s="14" t="s">
        <v>75</v>
      </c>
      <c r="G29" s="25" t="s">
        <v>40</v>
      </c>
      <c r="H29" s="25" t="str">
        <f>IF(LEFT('PL1(Full)'!$F29,4)="Thôn","Thôn","Tổ")</f>
        <v>Thôn</v>
      </c>
      <c r="I29" s="20">
        <v>136</v>
      </c>
      <c r="J29" s="20">
        <v>625</v>
      </c>
      <c r="K29" s="20">
        <v>130</v>
      </c>
      <c r="L29" s="21">
        <f t="shared" si="0"/>
        <v>95.588235294117652</v>
      </c>
      <c r="M29" s="20">
        <v>7</v>
      </c>
      <c r="N29" s="22">
        <f t="shared" si="1"/>
        <v>5.1470588235294121</v>
      </c>
      <c r="O29" s="20">
        <v>7</v>
      </c>
      <c r="P29" s="22">
        <f t="shared" si="2"/>
        <v>100</v>
      </c>
      <c r="Q29" s="23" t="s">
        <v>49</v>
      </c>
      <c r="R29" s="24" t="str">
        <f t="shared" si="3"/>
        <v>X</v>
      </c>
      <c r="S29" s="25"/>
      <c r="T29" s="26" t="str">
        <f>IF('PL1(Full)'!$N29&gt;=20,"x",IF(AND('PL1(Full)'!$N29&gt;=15,'PL1(Full)'!$P29&gt;60),"x",""))</f>
        <v/>
      </c>
      <c r="U29" s="27" t="str">
        <f>IF(AND('PL1(Full)'!$H29="Thôn",'PL1(Full)'!$I29&lt;75),"x",IF(AND('PL1(Full)'!$H29="Tổ",'PL1(Full)'!$I29&lt;100),"x","-"))</f>
        <v>-</v>
      </c>
      <c r="V29" s="28" t="str">
        <f>IF(AND('PL1(Full)'!$H29="Thôn",'PL1(Full)'!$I29&lt;140),"x",IF(AND('PL1(Full)'!$H29="Tổ",'PL1(Full)'!$I29&lt;210),"x","-"))</f>
        <v>x</v>
      </c>
      <c r="W29" s="29" t="str">
        <f t="shared" si="14"/>
        <v>Loại 2</v>
      </c>
      <c r="X29" s="25"/>
    </row>
    <row r="30" spans="1:24" ht="15.75" hidden="1" customHeight="1">
      <c r="A30" s="30">
        <f>_xlfn.AGGREGATE(4,7,A$6:A29)+1</f>
        <v>16</v>
      </c>
      <c r="B30" s="31" t="str">
        <f t="shared" si="13"/>
        <v>H. Ba Bể</v>
      </c>
      <c r="C30" s="31" t="str">
        <f t="shared" ref="C30:C37" si="16">C29</f>
        <v>X. Cao Thượng</v>
      </c>
      <c r="D30" s="34"/>
      <c r="E30" s="34" t="s">
        <v>58</v>
      </c>
      <c r="F30" s="31" t="s">
        <v>76</v>
      </c>
      <c r="G30" s="34" t="s">
        <v>40</v>
      </c>
      <c r="H30" s="34" t="str">
        <f>IF(LEFT('PL1(Full)'!$F30,4)="Thôn","Thôn","Tổ")</f>
        <v>Thôn</v>
      </c>
      <c r="I30" s="36">
        <v>105</v>
      </c>
      <c r="J30" s="36">
        <v>521</v>
      </c>
      <c r="K30" s="36">
        <v>105</v>
      </c>
      <c r="L30" s="37">
        <f t="shared" si="0"/>
        <v>100</v>
      </c>
      <c r="M30" s="36">
        <v>21</v>
      </c>
      <c r="N30" s="38">
        <f t="shared" si="1"/>
        <v>20</v>
      </c>
      <c r="O30" s="36">
        <v>21</v>
      </c>
      <c r="P30" s="38">
        <f t="shared" si="2"/>
        <v>100</v>
      </c>
      <c r="Q30" s="39" t="s">
        <v>56</v>
      </c>
      <c r="R30" s="39" t="str">
        <f t="shared" si="3"/>
        <v>X</v>
      </c>
      <c r="S30" s="34" t="s">
        <v>60</v>
      </c>
      <c r="T30" s="34" t="str">
        <f>IF('PL1(Full)'!$N30&gt;=20,"x",IF(AND('PL1(Full)'!$N30&gt;=15,'PL1(Full)'!$P30&gt;60),"x",""))</f>
        <v>x</v>
      </c>
      <c r="U30" s="34" t="str">
        <f>IF(AND('PL1(Full)'!$H30="Thôn",'PL1(Full)'!$I30&lt;75),"x",IF(AND('PL1(Full)'!$H30="Tổ",'PL1(Full)'!$I30&lt;100),"x","-"))</f>
        <v>-</v>
      </c>
      <c r="V30" s="34" t="str">
        <f>IF(AND('PL1(Full)'!$H30="Thôn",'PL1(Full)'!$I30&lt;140),"x",IF(AND('PL1(Full)'!$H30="Tổ",'PL1(Full)'!$I30&lt;210),"x","-"))</f>
        <v>x</v>
      </c>
      <c r="W30" s="40" t="str">
        <f t="shared" si="14"/>
        <v>Loại 2</v>
      </c>
      <c r="X30" s="34"/>
    </row>
    <row r="31" spans="1:24" ht="15.75" hidden="1" customHeight="1">
      <c r="A31" s="30">
        <f>_xlfn.AGGREGATE(4,7,A$6:A30)+1</f>
        <v>16</v>
      </c>
      <c r="B31" s="31" t="str">
        <f t="shared" si="13"/>
        <v>H. Ba Bể</v>
      </c>
      <c r="C31" s="31" t="str">
        <f t="shared" si="16"/>
        <v>X. Cao Thượng</v>
      </c>
      <c r="D31" s="34"/>
      <c r="E31" s="34" t="s">
        <v>58</v>
      </c>
      <c r="F31" s="31" t="s">
        <v>77</v>
      </c>
      <c r="G31" s="34"/>
      <c r="H31" s="34" t="str">
        <f>IF(LEFT('PL1(Full)'!$F31,4)="Thôn","Thôn","Tổ")</f>
        <v>Thôn</v>
      </c>
      <c r="I31" s="36">
        <v>79</v>
      </c>
      <c r="J31" s="36">
        <v>380</v>
      </c>
      <c r="K31" s="36">
        <v>79</v>
      </c>
      <c r="L31" s="37">
        <f t="shared" si="0"/>
        <v>100</v>
      </c>
      <c r="M31" s="36">
        <v>43</v>
      </c>
      <c r="N31" s="38">
        <f t="shared" si="1"/>
        <v>54.430379746835442</v>
      </c>
      <c r="O31" s="36">
        <v>43</v>
      </c>
      <c r="P31" s="38">
        <f t="shared" si="2"/>
        <v>100</v>
      </c>
      <c r="Q31" s="39" t="s">
        <v>63</v>
      </c>
      <c r="R31" s="39" t="str">
        <f t="shared" si="3"/>
        <v>X</v>
      </c>
      <c r="S31" s="34" t="s">
        <v>60</v>
      </c>
      <c r="T31" s="34" t="str">
        <f>IF('PL1(Full)'!$N31&gt;=20,"x",IF(AND('PL1(Full)'!$N31&gt;=15,'PL1(Full)'!$P31&gt;60),"x",""))</f>
        <v>x</v>
      </c>
      <c r="U31" s="34" t="str">
        <f>IF(AND('PL1(Full)'!$H31="Thôn",'PL1(Full)'!$I31&lt;75),"x",IF(AND('PL1(Full)'!$H31="Tổ",'PL1(Full)'!$I31&lt;100),"x","-"))</f>
        <v>-</v>
      </c>
      <c r="V31" s="34" t="str">
        <f>IF(AND('PL1(Full)'!$H31="Thôn",'PL1(Full)'!$I31&lt;140),"x",IF(AND('PL1(Full)'!$H31="Tổ",'PL1(Full)'!$I31&lt;210),"x","-"))</f>
        <v>x</v>
      </c>
      <c r="W31" s="40" t="str">
        <f t="shared" si="14"/>
        <v>Loại 3</v>
      </c>
      <c r="X31" s="34"/>
    </row>
    <row r="32" spans="1:24" ht="15.75" hidden="1" customHeight="1">
      <c r="A32" s="30">
        <f>_xlfn.AGGREGATE(4,7,A$6:A31)+1</f>
        <v>16</v>
      </c>
      <c r="B32" s="31" t="str">
        <f t="shared" si="13"/>
        <v>H. Ba Bể</v>
      </c>
      <c r="C32" s="31" t="str">
        <f t="shared" si="16"/>
        <v>X. Cao Thượng</v>
      </c>
      <c r="D32" s="34"/>
      <c r="E32" s="34" t="s">
        <v>58</v>
      </c>
      <c r="F32" s="31" t="s">
        <v>78</v>
      </c>
      <c r="G32" s="34"/>
      <c r="H32" s="34" t="str">
        <f>IF(LEFT('PL1(Full)'!$F32,4)="Thôn","Thôn","Tổ")</f>
        <v>Thôn</v>
      </c>
      <c r="I32" s="36">
        <v>84</v>
      </c>
      <c r="J32" s="36">
        <v>393</v>
      </c>
      <c r="K32" s="36">
        <v>83</v>
      </c>
      <c r="L32" s="37">
        <f t="shared" si="0"/>
        <v>98.80952380952381</v>
      </c>
      <c r="M32" s="36">
        <v>2</v>
      </c>
      <c r="N32" s="38">
        <f t="shared" si="1"/>
        <v>2.3809523809523809</v>
      </c>
      <c r="O32" s="36">
        <v>2</v>
      </c>
      <c r="P32" s="38">
        <f t="shared" si="2"/>
        <v>100</v>
      </c>
      <c r="Q32" s="39" t="s">
        <v>63</v>
      </c>
      <c r="R32" s="39" t="str">
        <f t="shared" si="3"/>
        <v>X</v>
      </c>
      <c r="S32" s="34"/>
      <c r="T32" s="34" t="str">
        <f>IF('PL1(Full)'!$N32&gt;=20,"x",IF(AND('PL1(Full)'!$N32&gt;=15,'PL1(Full)'!$P32&gt;60),"x",""))</f>
        <v/>
      </c>
      <c r="U32" s="34" t="str">
        <f>IF(AND('PL1(Full)'!$H32="Thôn",'PL1(Full)'!$I32&lt;75),"x",IF(AND('PL1(Full)'!$H32="Tổ",'PL1(Full)'!$I32&lt;100),"x","-"))</f>
        <v>-</v>
      </c>
      <c r="V32" s="34" t="str">
        <f>IF(AND('PL1(Full)'!$H32="Thôn",'PL1(Full)'!$I32&lt;140),"x",IF(AND('PL1(Full)'!$H32="Tổ",'PL1(Full)'!$I32&lt;210),"x","-"))</f>
        <v>x</v>
      </c>
      <c r="W32" s="40" t="str">
        <f t="shared" si="14"/>
        <v>Loại 3</v>
      </c>
      <c r="X32" s="34"/>
    </row>
    <row r="33" spans="1:24" ht="15.75" hidden="1" customHeight="1">
      <c r="A33" s="30">
        <f>_xlfn.AGGREGATE(4,7,A$6:A32)+1</f>
        <v>16</v>
      </c>
      <c r="B33" s="31" t="str">
        <f t="shared" si="13"/>
        <v>H. Ba Bể</v>
      </c>
      <c r="C33" s="31" t="str">
        <f t="shared" si="16"/>
        <v>X. Cao Thượng</v>
      </c>
      <c r="D33" s="34"/>
      <c r="E33" s="34" t="s">
        <v>58</v>
      </c>
      <c r="F33" s="31" t="s">
        <v>79</v>
      </c>
      <c r="G33" s="34" t="s">
        <v>40</v>
      </c>
      <c r="H33" s="34" t="str">
        <f>IF(LEFT('PL1(Full)'!$F33,4)="Thôn","Thôn","Tổ")</f>
        <v>Thôn</v>
      </c>
      <c r="I33" s="36">
        <v>84</v>
      </c>
      <c r="J33" s="36">
        <v>403</v>
      </c>
      <c r="K33" s="36">
        <v>82</v>
      </c>
      <c r="L33" s="37">
        <f t="shared" si="0"/>
        <v>97.61904761904762</v>
      </c>
      <c r="M33" s="36">
        <v>8</v>
      </c>
      <c r="N33" s="38">
        <f t="shared" si="1"/>
        <v>9.5238095238095237</v>
      </c>
      <c r="O33" s="36">
        <v>8</v>
      </c>
      <c r="P33" s="38">
        <f t="shared" si="2"/>
        <v>100</v>
      </c>
      <c r="Q33" s="39" t="s">
        <v>56</v>
      </c>
      <c r="R33" s="39" t="str">
        <f t="shared" si="3"/>
        <v>X</v>
      </c>
      <c r="S33" s="34"/>
      <c r="T33" s="34" t="str">
        <f>IF('PL1(Full)'!$N33&gt;=20,"x",IF(AND('PL1(Full)'!$N33&gt;=15,'PL1(Full)'!$P33&gt;60),"x",""))</f>
        <v/>
      </c>
      <c r="U33" s="34" t="str">
        <f>IF(AND('PL1(Full)'!$H33="Thôn",'PL1(Full)'!$I33&lt;75),"x",IF(AND('PL1(Full)'!$H33="Tổ",'PL1(Full)'!$I33&lt;100),"x","-"))</f>
        <v>-</v>
      </c>
      <c r="V33" s="34" t="str">
        <f>IF(AND('PL1(Full)'!$H33="Thôn",'PL1(Full)'!$I33&lt;140),"x",IF(AND('PL1(Full)'!$H33="Tổ",'PL1(Full)'!$I33&lt;210),"x","-"))</f>
        <v>x</v>
      </c>
      <c r="W33" s="40" t="str">
        <f t="shared" si="14"/>
        <v>Loại 3</v>
      </c>
      <c r="X33" s="34"/>
    </row>
    <row r="34" spans="1:24" ht="15.75" hidden="1" customHeight="1">
      <c r="A34" s="30">
        <f>_xlfn.AGGREGATE(4,7,A$6:A33)+1</f>
        <v>16</v>
      </c>
      <c r="B34" s="31" t="str">
        <f t="shared" si="13"/>
        <v>H. Ba Bể</v>
      </c>
      <c r="C34" s="31" t="str">
        <f t="shared" si="16"/>
        <v>X. Cao Thượng</v>
      </c>
      <c r="D34" s="34"/>
      <c r="E34" s="34" t="s">
        <v>58</v>
      </c>
      <c r="F34" s="31" t="s">
        <v>80</v>
      </c>
      <c r="G34" s="34" t="s">
        <v>40</v>
      </c>
      <c r="H34" s="34" t="str">
        <f>IF(LEFT('PL1(Full)'!$F34,4)="Thôn","Thôn","Tổ")</f>
        <v>Thôn</v>
      </c>
      <c r="I34" s="36">
        <v>126</v>
      </c>
      <c r="J34" s="36">
        <v>626</v>
      </c>
      <c r="K34" s="36">
        <v>126</v>
      </c>
      <c r="L34" s="37">
        <f t="shared" si="0"/>
        <v>100</v>
      </c>
      <c r="M34" s="36">
        <v>88</v>
      </c>
      <c r="N34" s="38">
        <f t="shared" si="1"/>
        <v>69.841269841269835</v>
      </c>
      <c r="O34" s="36">
        <v>88</v>
      </c>
      <c r="P34" s="38">
        <f t="shared" si="2"/>
        <v>100</v>
      </c>
      <c r="Q34" s="39" t="s">
        <v>52</v>
      </c>
      <c r="R34" s="39" t="str">
        <f t="shared" si="3"/>
        <v>C</v>
      </c>
      <c r="S34" s="34" t="s">
        <v>60</v>
      </c>
      <c r="T34" s="34" t="str">
        <f>IF('PL1(Full)'!$N34&gt;=20,"x",IF(AND('PL1(Full)'!$N34&gt;=15,'PL1(Full)'!$P34&gt;60),"x",""))</f>
        <v>x</v>
      </c>
      <c r="U34" s="34" t="str">
        <f>IF(AND('PL1(Full)'!$H34="Thôn",'PL1(Full)'!$I34&lt;75),"x",IF(AND('PL1(Full)'!$H34="Tổ",'PL1(Full)'!$I34&lt;100),"x","-"))</f>
        <v>-</v>
      </c>
      <c r="V34" s="34" t="str">
        <f>IF(AND('PL1(Full)'!$H34="Thôn",'PL1(Full)'!$I34&lt;140),"x",IF(AND('PL1(Full)'!$H34="Tổ",'PL1(Full)'!$I34&lt;210),"x","-"))</f>
        <v>x</v>
      </c>
      <c r="W34" s="40" t="str">
        <f t="shared" si="14"/>
        <v>Loại 2</v>
      </c>
      <c r="X34" s="34"/>
    </row>
    <row r="35" spans="1:24" ht="15.75" hidden="1" customHeight="1">
      <c r="A35" s="30">
        <f>_xlfn.AGGREGATE(4,7,A$6:A34)+1</f>
        <v>16</v>
      </c>
      <c r="B35" s="31" t="str">
        <f t="shared" si="13"/>
        <v>H. Ba Bể</v>
      </c>
      <c r="C35" s="31" t="str">
        <f t="shared" si="16"/>
        <v>X. Cao Thượng</v>
      </c>
      <c r="D35" s="34"/>
      <c r="E35" s="34" t="s">
        <v>58</v>
      </c>
      <c r="F35" s="31" t="s">
        <v>81</v>
      </c>
      <c r="G35" s="34" t="s">
        <v>40</v>
      </c>
      <c r="H35" s="34" t="str">
        <f>IF(LEFT('PL1(Full)'!$F35,4)="Thôn","Thôn","Tổ")</f>
        <v>Thôn</v>
      </c>
      <c r="I35" s="36">
        <v>103</v>
      </c>
      <c r="J35" s="36">
        <v>431</v>
      </c>
      <c r="K35" s="36">
        <v>103</v>
      </c>
      <c r="L35" s="37">
        <f t="shared" si="0"/>
        <v>100</v>
      </c>
      <c r="M35" s="36">
        <v>24</v>
      </c>
      <c r="N35" s="38">
        <f t="shared" si="1"/>
        <v>23.300970873786408</v>
      </c>
      <c r="O35" s="36">
        <v>24</v>
      </c>
      <c r="P35" s="38">
        <f t="shared" si="2"/>
        <v>100</v>
      </c>
      <c r="Q35" s="39" t="s">
        <v>82</v>
      </c>
      <c r="R35" s="39" t="str">
        <f t="shared" si="3"/>
        <v>X</v>
      </c>
      <c r="S35" s="34" t="s">
        <v>60</v>
      </c>
      <c r="T35" s="34" t="str">
        <f>IF('PL1(Full)'!$N35&gt;=20,"x",IF(AND('PL1(Full)'!$N35&gt;=15,'PL1(Full)'!$P35&gt;60),"x",""))</f>
        <v>x</v>
      </c>
      <c r="U35" s="34" t="str">
        <f>IF(AND('PL1(Full)'!$H35="Thôn",'PL1(Full)'!$I35&lt;75),"x",IF(AND('PL1(Full)'!$H35="Tổ",'PL1(Full)'!$I35&lt;100),"x","-"))</f>
        <v>-</v>
      </c>
      <c r="V35" s="34" t="str">
        <f>IF(AND('PL1(Full)'!$H35="Thôn",'PL1(Full)'!$I35&lt;140),"x",IF(AND('PL1(Full)'!$H35="Tổ",'PL1(Full)'!$I35&lt;210),"x","-"))</f>
        <v>x</v>
      </c>
      <c r="W35" s="40" t="str">
        <f t="shared" si="14"/>
        <v>Loại 2</v>
      </c>
      <c r="X35" s="34"/>
    </row>
    <row r="36" spans="1:24" ht="15.75" customHeight="1">
      <c r="A36" s="30">
        <f>_xlfn.AGGREGATE(4,7,A$6:A35)+1</f>
        <v>16</v>
      </c>
      <c r="B36" s="31" t="str">
        <f t="shared" si="13"/>
        <v>H. Ba Bể</v>
      </c>
      <c r="C36" s="31" t="str">
        <f t="shared" si="16"/>
        <v>X. Cao Thượng</v>
      </c>
      <c r="D36" s="34"/>
      <c r="E36" s="34" t="s">
        <v>58</v>
      </c>
      <c r="F36" s="31" t="s">
        <v>83</v>
      </c>
      <c r="G36" s="34"/>
      <c r="H36" s="34" t="str">
        <f>IF(LEFT('PL1(Full)'!$F36,4)="Thôn","Thôn","Tổ")</f>
        <v>Thôn</v>
      </c>
      <c r="I36" s="36">
        <v>69</v>
      </c>
      <c r="J36" s="36">
        <v>311</v>
      </c>
      <c r="K36" s="36">
        <v>69</v>
      </c>
      <c r="L36" s="37">
        <f t="shared" si="0"/>
        <v>100</v>
      </c>
      <c r="M36" s="36">
        <v>60</v>
      </c>
      <c r="N36" s="38">
        <f t="shared" si="1"/>
        <v>86.956521739130437</v>
      </c>
      <c r="O36" s="36">
        <v>60</v>
      </c>
      <c r="P36" s="38">
        <f t="shared" si="2"/>
        <v>100</v>
      </c>
      <c r="Q36" s="39" t="s">
        <v>63</v>
      </c>
      <c r="R36" s="39" t="str">
        <f t="shared" si="3"/>
        <v>X</v>
      </c>
      <c r="S36" s="34" t="s">
        <v>60</v>
      </c>
      <c r="T36" s="34" t="str">
        <f>IF('PL1(Full)'!$N36&gt;=20,"x",IF(AND('PL1(Full)'!$N36&gt;=15,'PL1(Full)'!$P36&gt;60),"x",""))</f>
        <v>x</v>
      </c>
      <c r="U36" s="34" t="str">
        <f>IF(AND('PL1(Full)'!$H36="Thôn",'PL1(Full)'!$I36&lt;75),"x",IF(AND('PL1(Full)'!$H36="Tổ",'PL1(Full)'!$I36&lt;100),"x","-"))</f>
        <v>x</v>
      </c>
      <c r="V36" s="34" t="str">
        <f>IF(AND('PL1(Full)'!$H36="Thôn",'PL1(Full)'!$I36&lt;140),"x",IF(AND('PL1(Full)'!$H36="Tổ",'PL1(Full)'!$I36&lt;210),"x","-"))</f>
        <v>x</v>
      </c>
      <c r="W36" s="40" t="str">
        <f t="shared" si="14"/>
        <v>Loại 3</v>
      </c>
      <c r="X36" s="34"/>
    </row>
    <row r="37" spans="1:24" ht="15.75" hidden="1" customHeight="1">
      <c r="A37" s="41">
        <f>_xlfn.AGGREGATE(4,7,A$6:A36)+1</f>
        <v>17</v>
      </c>
      <c r="B37" s="42" t="str">
        <f t="shared" si="13"/>
        <v>H. Ba Bể</v>
      </c>
      <c r="C37" s="42" t="str">
        <f t="shared" si="16"/>
        <v>X. Cao Thượng</v>
      </c>
      <c r="D37" s="50"/>
      <c r="E37" s="50" t="s">
        <v>58</v>
      </c>
      <c r="F37" s="42" t="s">
        <v>84</v>
      </c>
      <c r="G37" s="50"/>
      <c r="H37" s="50" t="str">
        <f>IF(LEFT('PL1(Full)'!$F37,4)="Thôn","Thôn","Tổ")</f>
        <v>Thôn</v>
      </c>
      <c r="I37" s="46">
        <v>81</v>
      </c>
      <c r="J37" s="46">
        <v>431</v>
      </c>
      <c r="K37" s="46">
        <v>81</v>
      </c>
      <c r="L37" s="47">
        <f t="shared" si="0"/>
        <v>100</v>
      </c>
      <c r="M37" s="46">
        <v>73</v>
      </c>
      <c r="N37" s="48">
        <f t="shared" si="1"/>
        <v>90.123456790123456</v>
      </c>
      <c r="O37" s="46">
        <v>73</v>
      </c>
      <c r="P37" s="48">
        <f t="shared" si="2"/>
        <v>100</v>
      </c>
      <c r="Q37" s="49" t="s">
        <v>85</v>
      </c>
      <c r="R37" s="49" t="str">
        <f t="shared" si="3"/>
        <v>X</v>
      </c>
      <c r="S37" s="50" t="s">
        <v>60</v>
      </c>
      <c r="T37" s="50" t="str">
        <f>IF('PL1(Full)'!$N37&gt;=20,"x",IF(AND('PL1(Full)'!$N37&gt;=15,'PL1(Full)'!$P37&gt;60),"x",""))</f>
        <v>x</v>
      </c>
      <c r="U37" s="50" t="str">
        <f>IF(AND('PL1(Full)'!$H37="Thôn",'PL1(Full)'!$I37&lt;75),"x",IF(AND('PL1(Full)'!$H37="Tổ",'PL1(Full)'!$I37&lt;100),"x","-"))</f>
        <v>-</v>
      </c>
      <c r="V37" s="34" t="str">
        <f>IF(AND('PL1(Full)'!$H37="Thôn",'PL1(Full)'!$I37&lt;140),"x",IF(AND('PL1(Full)'!$H37="Tổ",'PL1(Full)'!$I37&lt;210),"x","-"))</f>
        <v>x</v>
      </c>
      <c r="W37" s="51" t="str">
        <f t="shared" si="14"/>
        <v>Loại 3</v>
      </c>
      <c r="X37" s="50"/>
    </row>
    <row r="38" spans="1:24" ht="15.75" customHeight="1">
      <c r="A38" s="52">
        <f>_xlfn.AGGREGATE(4,7,A$6:A37)+1</f>
        <v>17</v>
      </c>
      <c r="B38" s="14" t="str">
        <f t="shared" si="13"/>
        <v>H. Ba Bể</v>
      </c>
      <c r="C38" s="14" t="s">
        <v>86</v>
      </c>
      <c r="D38" s="25" t="s">
        <v>58</v>
      </c>
      <c r="E38" s="25" t="s">
        <v>58</v>
      </c>
      <c r="F38" s="53" t="s">
        <v>87</v>
      </c>
      <c r="G38" s="25"/>
      <c r="H38" s="25" t="str">
        <f>IF(LEFT('PL1(Full)'!$F38,4)="Thôn","Thôn","Tổ")</f>
        <v>Thôn</v>
      </c>
      <c r="I38" s="20">
        <v>46</v>
      </c>
      <c r="J38" s="20">
        <v>195</v>
      </c>
      <c r="K38" s="20">
        <v>26</v>
      </c>
      <c r="L38" s="21">
        <f t="shared" si="0"/>
        <v>56.521739130434781</v>
      </c>
      <c r="M38" s="20">
        <v>10</v>
      </c>
      <c r="N38" s="22">
        <f t="shared" si="1"/>
        <v>21.739130434782609</v>
      </c>
      <c r="O38" s="20">
        <v>4</v>
      </c>
      <c r="P38" s="22">
        <f t="shared" si="2"/>
        <v>40</v>
      </c>
      <c r="Q38" s="23" t="s">
        <v>63</v>
      </c>
      <c r="R38" s="24" t="str">
        <f t="shared" si="3"/>
        <v>X</v>
      </c>
      <c r="S38" s="25" t="s">
        <v>60</v>
      </c>
      <c r="T38" s="26" t="str">
        <f>IF('PL1(Full)'!$N38&gt;=20,"x",IF(AND('PL1(Full)'!$N38&gt;=15,'PL1(Full)'!$P38&gt;60),"x",""))</f>
        <v>x</v>
      </c>
      <c r="U38" s="27" t="str">
        <f>IF(AND('PL1(Full)'!$H38="Thôn",'PL1(Full)'!$I38&lt;75),"x",IF(AND('PL1(Full)'!$H38="Tổ",'PL1(Full)'!$I38&lt;100),"x","-"))</f>
        <v>x</v>
      </c>
      <c r="V38" s="28" t="str">
        <f>IF(AND('PL1(Full)'!$H38="Thôn",'PL1(Full)'!$I38&lt;140),"x",IF(AND('PL1(Full)'!$H38="Tổ",'PL1(Full)'!$I38&lt;210),"x","-"))</f>
        <v>x</v>
      </c>
      <c r="W38" s="29" t="str">
        <f t="shared" si="14"/>
        <v>Loại 3</v>
      </c>
      <c r="X38" s="14"/>
    </row>
    <row r="39" spans="1:24" ht="15.75" hidden="1" customHeight="1">
      <c r="A39" s="30">
        <f>_xlfn.AGGREGATE(4,7,A$6:A38)+1</f>
        <v>18</v>
      </c>
      <c r="B39" s="31" t="str">
        <f t="shared" si="13"/>
        <v>H. Ba Bể</v>
      </c>
      <c r="C39" s="31" t="str">
        <f t="shared" ref="C39:C51" si="17">C38</f>
        <v>X. Chu Hương</v>
      </c>
      <c r="D39" s="34"/>
      <c r="E39" s="34" t="s">
        <v>58</v>
      </c>
      <c r="F39" s="54" t="s">
        <v>88</v>
      </c>
      <c r="G39" s="34" t="s">
        <v>40</v>
      </c>
      <c r="H39" s="34" t="str">
        <f>IF(LEFT('PL1(Full)'!$F39,4)="Thôn","Thôn","Tổ")</f>
        <v>Thôn</v>
      </c>
      <c r="I39" s="36">
        <v>146</v>
      </c>
      <c r="J39" s="36">
        <v>588</v>
      </c>
      <c r="K39" s="36">
        <v>135</v>
      </c>
      <c r="L39" s="37">
        <f t="shared" si="0"/>
        <v>92.465753424657535</v>
      </c>
      <c r="M39" s="36">
        <v>33</v>
      </c>
      <c r="N39" s="38">
        <f t="shared" si="1"/>
        <v>22.602739726027398</v>
      </c>
      <c r="O39" s="36">
        <v>31</v>
      </c>
      <c r="P39" s="38">
        <f t="shared" si="2"/>
        <v>93.939393939393938</v>
      </c>
      <c r="Q39" s="39" t="s">
        <v>43</v>
      </c>
      <c r="R39" s="39" t="str">
        <f t="shared" si="3"/>
        <v>X</v>
      </c>
      <c r="S39" s="34" t="s">
        <v>60</v>
      </c>
      <c r="T39" s="34" t="str">
        <f>IF('PL1(Full)'!$N39&gt;=20,"x",IF(AND('PL1(Full)'!$N39&gt;=15,'PL1(Full)'!$P39&gt;60),"x",""))</f>
        <v>x</v>
      </c>
      <c r="U39" s="34" t="str">
        <f>IF(AND('PL1(Full)'!$H39="Thôn",'PL1(Full)'!$I39&lt;75),"x",IF(AND('PL1(Full)'!$H39="Tổ",'PL1(Full)'!$I39&lt;100),"x","-"))</f>
        <v>-</v>
      </c>
      <c r="V39" s="34" t="str">
        <f>IF(AND('PL1(Full)'!$H39="Thôn",'PL1(Full)'!$I39&lt;140),"x",IF(AND('PL1(Full)'!$H39="Tổ",'PL1(Full)'!$I39&lt;210),"x","-"))</f>
        <v>-</v>
      </c>
      <c r="W39" s="40" t="str">
        <f t="shared" si="14"/>
        <v>Loại 2</v>
      </c>
      <c r="X39" s="31"/>
    </row>
    <row r="40" spans="1:24" ht="15.75" hidden="1" customHeight="1">
      <c r="A40" s="30">
        <f>_xlfn.AGGREGATE(4,7,A$6:A39)+1</f>
        <v>18</v>
      </c>
      <c r="B40" s="31" t="str">
        <f t="shared" si="13"/>
        <v>H. Ba Bể</v>
      </c>
      <c r="C40" s="31" t="str">
        <f t="shared" si="17"/>
        <v>X. Chu Hương</v>
      </c>
      <c r="D40" s="34"/>
      <c r="E40" s="34" t="s">
        <v>58</v>
      </c>
      <c r="F40" s="54" t="s">
        <v>89</v>
      </c>
      <c r="G40" s="34" t="s">
        <v>40</v>
      </c>
      <c r="H40" s="34" t="str">
        <f>IF(LEFT('PL1(Full)'!$F40,4)="Thôn","Thôn","Tổ")</f>
        <v>Thôn</v>
      </c>
      <c r="I40" s="36">
        <v>148</v>
      </c>
      <c r="J40" s="36">
        <v>649</v>
      </c>
      <c r="K40" s="36">
        <v>147</v>
      </c>
      <c r="L40" s="37">
        <f t="shared" si="0"/>
        <v>99.324324324324323</v>
      </c>
      <c r="M40" s="36">
        <v>42</v>
      </c>
      <c r="N40" s="38">
        <f t="shared" si="1"/>
        <v>28.378378378378379</v>
      </c>
      <c r="O40" s="36">
        <v>42</v>
      </c>
      <c r="P40" s="38">
        <f t="shared" si="2"/>
        <v>100</v>
      </c>
      <c r="Q40" s="39" t="s">
        <v>49</v>
      </c>
      <c r="R40" s="39" t="str">
        <f t="shared" si="3"/>
        <v>X</v>
      </c>
      <c r="S40" s="34" t="s">
        <v>60</v>
      </c>
      <c r="T40" s="34" t="str">
        <f>IF('PL1(Full)'!$N40&gt;=20,"x",IF(AND('PL1(Full)'!$N40&gt;=15,'PL1(Full)'!$P40&gt;60),"x",""))</f>
        <v>x</v>
      </c>
      <c r="U40" s="34" t="str">
        <f>IF(AND('PL1(Full)'!$H40="Thôn",'PL1(Full)'!$I40&lt;75),"x",IF(AND('PL1(Full)'!$H40="Tổ",'PL1(Full)'!$I40&lt;100),"x","-"))</f>
        <v>-</v>
      </c>
      <c r="V40" s="34" t="str">
        <f>IF(AND('PL1(Full)'!$H40="Thôn",'PL1(Full)'!$I40&lt;140),"x",IF(AND('PL1(Full)'!$H40="Tổ",'PL1(Full)'!$I40&lt;210),"x","-"))</f>
        <v>-</v>
      </c>
      <c r="W40" s="40" t="str">
        <f t="shared" si="14"/>
        <v>Loại 2</v>
      </c>
      <c r="X40" s="31"/>
    </row>
    <row r="41" spans="1:24" ht="15.75" customHeight="1">
      <c r="A41" s="30">
        <f>_xlfn.AGGREGATE(4,7,A$6:A40)+1</f>
        <v>18</v>
      </c>
      <c r="B41" s="31" t="str">
        <f t="shared" si="13"/>
        <v>H. Ba Bể</v>
      </c>
      <c r="C41" s="31" t="str">
        <f t="shared" si="17"/>
        <v>X. Chu Hương</v>
      </c>
      <c r="D41" s="34"/>
      <c r="E41" s="34" t="s">
        <v>58</v>
      </c>
      <c r="F41" s="54" t="s">
        <v>90</v>
      </c>
      <c r="G41" s="34"/>
      <c r="H41" s="34" t="str">
        <f>IF(LEFT('PL1(Full)'!$F41,4)="Thôn","Thôn","Tổ")</f>
        <v>Thôn</v>
      </c>
      <c r="I41" s="36">
        <v>55</v>
      </c>
      <c r="J41" s="36">
        <v>200</v>
      </c>
      <c r="K41" s="36">
        <v>55</v>
      </c>
      <c r="L41" s="37">
        <f t="shared" si="0"/>
        <v>100</v>
      </c>
      <c r="M41" s="36">
        <v>13</v>
      </c>
      <c r="N41" s="38">
        <f t="shared" si="1"/>
        <v>23.636363636363637</v>
      </c>
      <c r="O41" s="36">
        <v>13</v>
      </c>
      <c r="P41" s="38">
        <f t="shared" si="2"/>
        <v>100</v>
      </c>
      <c r="Q41" s="39" t="s">
        <v>82</v>
      </c>
      <c r="R41" s="39" t="str">
        <f t="shared" si="3"/>
        <v>X</v>
      </c>
      <c r="S41" s="34" t="s">
        <v>60</v>
      </c>
      <c r="T41" s="34" t="str">
        <f>IF('PL1(Full)'!$N41&gt;=20,"x",IF(AND('PL1(Full)'!$N41&gt;=15,'PL1(Full)'!$P41&gt;60),"x",""))</f>
        <v>x</v>
      </c>
      <c r="U41" s="34" t="str">
        <f>IF(AND('PL1(Full)'!$H41="Thôn",'PL1(Full)'!$I41&lt;75),"x",IF(AND('PL1(Full)'!$H41="Tổ",'PL1(Full)'!$I41&lt;100),"x","-"))</f>
        <v>x</v>
      </c>
      <c r="V41" s="34" t="str">
        <f>IF(AND('PL1(Full)'!$H41="Thôn",'PL1(Full)'!$I41&lt;140),"x",IF(AND('PL1(Full)'!$H41="Tổ",'PL1(Full)'!$I41&lt;210),"x","-"))</f>
        <v>x</v>
      </c>
      <c r="W41" s="40" t="str">
        <f t="shared" si="14"/>
        <v>Loại 3</v>
      </c>
      <c r="X41" s="31"/>
    </row>
    <row r="42" spans="1:24" ht="15.75" customHeight="1">
      <c r="A42" s="30">
        <f>_xlfn.AGGREGATE(4,7,A$6:A41)+1</f>
        <v>19</v>
      </c>
      <c r="B42" s="31" t="str">
        <f t="shared" si="13"/>
        <v>H. Ba Bể</v>
      </c>
      <c r="C42" s="31" t="str">
        <f t="shared" si="17"/>
        <v>X. Chu Hương</v>
      </c>
      <c r="D42" s="34"/>
      <c r="E42" s="34" t="s">
        <v>58</v>
      </c>
      <c r="F42" s="54" t="s">
        <v>91</v>
      </c>
      <c r="G42" s="34"/>
      <c r="H42" s="34" t="str">
        <f>IF(LEFT('PL1(Full)'!$F42,4)="Thôn","Thôn","Tổ")</f>
        <v>Thôn</v>
      </c>
      <c r="I42" s="36">
        <v>46</v>
      </c>
      <c r="J42" s="36">
        <v>158</v>
      </c>
      <c r="K42" s="36">
        <v>7</v>
      </c>
      <c r="L42" s="37">
        <f t="shared" si="0"/>
        <v>15.217391304347826</v>
      </c>
      <c r="M42" s="36">
        <v>15</v>
      </c>
      <c r="N42" s="38">
        <f t="shared" si="1"/>
        <v>32.608695652173914</v>
      </c>
      <c r="O42" s="36">
        <v>3</v>
      </c>
      <c r="P42" s="38">
        <f t="shared" si="2"/>
        <v>20</v>
      </c>
      <c r="Q42" s="39" t="s">
        <v>82</v>
      </c>
      <c r="R42" s="39" t="str">
        <f t="shared" si="3"/>
        <v>X</v>
      </c>
      <c r="S42" s="34" t="s">
        <v>60</v>
      </c>
      <c r="T42" s="34" t="str">
        <f>IF('PL1(Full)'!$N42&gt;=20,"x",IF(AND('PL1(Full)'!$N42&gt;=15,'PL1(Full)'!$P42&gt;60),"x",""))</f>
        <v>x</v>
      </c>
      <c r="U42" s="34" t="str">
        <f>IF(AND('PL1(Full)'!$H42="Thôn",'PL1(Full)'!$I42&lt;75),"x",IF(AND('PL1(Full)'!$H42="Tổ",'PL1(Full)'!$I42&lt;100),"x","-"))</f>
        <v>x</v>
      </c>
      <c r="V42" s="34" t="str">
        <f>IF(AND('PL1(Full)'!$H42="Thôn",'PL1(Full)'!$I42&lt;140),"x",IF(AND('PL1(Full)'!$H42="Tổ",'PL1(Full)'!$I42&lt;210),"x","-"))</f>
        <v>x</v>
      </c>
      <c r="W42" s="40" t="str">
        <f t="shared" si="14"/>
        <v>Loại 3</v>
      </c>
      <c r="X42" s="31"/>
    </row>
    <row r="43" spans="1:24" ht="15.75" customHeight="1">
      <c r="A43" s="30">
        <f>_xlfn.AGGREGATE(4,7,A$6:A42)+1</f>
        <v>20</v>
      </c>
      <c r="B43" s="31" t="str">
        <f t="shared" si="13"/>
        <v>H. Ba Bể</v>
      </c>
      <c r="C43" s="31" t="str">
        <f t="shared" si="17"/>
        <v>X. Chu Hương</v>
      </c>
      <c r="D43" s="34"/>
      <c r="E43" s="34" t="s">
        <v>58</v>
      </c>
      <c r="F43" s="54" t="s">
        <v>92</v>
      </c>
      <c r="G43" s="34"/>
      <c r="H43" s="34" t="str">
        <f>IF(LEFT('PL1(Full)'!$F43,4)="Thôn","Thôn","Tổ")</f>
        <v>Thôn</v>
      </c>
      <c r="I43" s="36">
        <v>24</v>
      </c>
      <c r="J43" s="36">
        <v>122</v>
      </c>
      <c r="K43" s="36">
        <v>24</v>
      </c>
      <c r="L43" s="37">
        <f t="shared" si="0"/>
        <v>100</v>
      </c>
      <c r="M43" s="36">
        <v>20</v>
      </c>
      <c r="N43" s="38">
        <f t="shared" si="1"/>
        <v>83.333333333333329</v>
      </c>
      <c r="O43" s="36">
        <v>20</v>
      </c>
      <c r="P43" s="38">
        <f t="shared" si="2"/>
        <v>100</v>
      </c>
      <c r="Q43" s="39" t="s">
        <v>63</v>
      </c>
      <c r="R43" s="39" t="str">
        <f t="shared" si="3"/>
        <v>X</v>
      </c>
      <c r="S43" s="34" t="s">
        <v>60</v>
      </c>
      <c r="T43" s="34" t="str">
        <f>IF('PL1(Full)'!$N43&gt;=20,"x",IF(AND('PL1(Full)'!$N43&gt;=15,'PL1(Full)'!$P43&gt;60),"x",""))</f>
        <v>x</v>
      </c>
      <c r="U43" s="34" t="str">
        <f>IF(AND('PL1(Full)'!$H43="Thôn",'PL1(Full)'!$I43&lt;75),"x",IF(AND('PL1(Full)'!$H43="Tổ",'PL1(Full)'!$I43&lt;100),"x","-"))</f>
        <v>x</v>
      </c>
      <c r="V43" s="34" t="str">
        <f>IF(AND('PL1(Full)'!$H43="Thôn",'PL1(Full)'!$I43&lt;140),"x",IF(AND('PL1(Full)'!$H43="Tổ",'PL1(Full)'!$I43&lt;210),"x","-"))</f>
        <v>x</v>
      </c>
      <c r="W43" s="40" t="str">
        <f t="shared" si="14"/>
        <v>Loại 3</v>
      </c>
      <c r="X43" s="31"/>
    </row>
    <row r="44" spans="1:24" ht="15.75" customHeight="1">
      <c r="A44" s="30">
        <f>_xlfn.AGGREGATE(4,7,A$6:A43)+1</f>
        <v>21</v>
      </c>
      <c r="B44" s="31" t="str">
        <f t="shared" si="13"/>
        <v>H. Ba Bể</v>
      </c>
      <c r="C44" s="31" t="str">
        <f t="shared" si="17"/>
        <v>X. Chu Hương</v>
      </c>
      <c r="D44" s="34"/>
      <c r="E44" s="34" t="s">
        <v>58</v>
      </c>
      <c r="F44" s="54" t="s">
        <v>93</v>
      </c>
      <c r="G44" s="34"/>
      <c r="H44" s="34" t="str">
        <f>IF(LEFT('PL1(Full)'!$F44,4)="Thôn","Thôn","Tổ")</f>
        <v>Thôn</v>
      </c>
      <c r="I44" s="36">
        <v>27</v>
      </c>
      <c r="J44" s="36">
        <v>104</v>
      </c>
      <c r="K44" s="36">
        <v>0</v>
      </c>
      <c r="L44" s="37">
        <f t="shared" si="0"/>
        <v>0</v>
      </c>
      <c r="M44" s="36">
        <v>10</v>
      </c>
      <c r="N44" s="38">
        <f t="shared" si="1"/>
        <v>37.037037037037038</v>
      </c>
      <c r="O44" s="36">
        <v>0</v>
      </c>
      <c r="P44" s="38">
        <f t="shared" si="2"/>
        <v>0</v>
      </c>
      <c r="Q44" s="39" t="s">
        <v>63</v>
      </c>
      <c r="R44" s="39" t="str">
        <f t="shared" si="3"/>
        <v>X</v>
      </c>
      <c r="S44" s="34" t="s">
        <v>60</v>
      </c>
      <c r="T44" s="34" t="str">
        <f>IF('PL1(Full)'!$N44&gt;=20,"x",IF(AND('PL1(Full)'!$N44&gt;=15,'PL1(Full)'!$P44&gt;60),"x",""))</f>
        <v>x</v>
      </c>
      <c r="U44" s="34" t="str">
        <f>IF(AND('PL1(Full)'!$H44="Thôn",'PL1(Full)'!$I44&lt;75),"x",IF(AND('PL1(Full)'!$H44="Tổ",'PL1(Full)'!$I44&lt;100),"x","-"))</f>
        <v>x</v>
      </c>
      <c r="V44" s="34" t="str">
        <f>IF(AND('PL1(Full)'!$H44="Thôn",'PL1(Full)'!$I44&lt;140),"x",IF(AND('PL1(Full)'!$H44="Tổ",'PL1(Full)'!$I44&lt;210),"x","-"))</f>
        <v>x</v>
      </c>
      <c r="W44" s="40" t="str">
        <f t="shared" si="14"/>
        <v>Loại 3</v>
      </c>
      <c r="X44" s="31"/>
    </row>
    <row r="45" spans="1:24" ht="15.75" customHeight="1">
      <c r="A45" s="30">
        <f>_xlfn.AGGREGATE(4,7,A$6:A44)+1</f>
        <v>22</v>
      </c>
      <c r="B45" s="31" t="str">
        <f t="shared" si="13"/>
        <v>H. Ba Bể</v>
      </c>
      <c r="C45" s="31" t="str">
        <f t="shared" si="17"/>
        <v>X. Chu Hương</v>
      </c>
      <c r="D45" s="34"/>
      <c r="E45" s="34" t="s">
        <v>58</v>
      </c>
      <c r="F45" s="54" t="s">
        <v>94</v>
      </c>
      <c r="G45" s="34"/>
      <c r="H45" s="34" t="str">
        <f>IF(LEFT('PL1(Full)'!$F45,4)="Thôn","Thôn","Tổ")</f>
        <v>Thôn</v>
      </c>
      <c r="I45" s="36">
        <v>47</v>
      </c>
      <c r="J45" s="36">
        <v>199</v>
      </c>
      <c r="K45" s="36">
        <v>34</v>
      </c>
      <c r="L45" s="37">
        <f t="shared" si="0"/>
        <v>72.340425531914889</v>
      </c>
      <c r="M45" s="36">
        <v>12</v>
      </c>
      <c r="N45" s="38">
        <f t="shared" si="1"/>
        <v>25.531914893617021</v>
      </c>
      <c r="O45" s="36">
        <v>9</v>
      </c>
      <c r="P45" s="38">
        <f t="shared" si="2"/>
        <v>75</v>
      </c>
      <c r="Q45" s="39" t="s">
        <v>82</v>
      </c>
      <c r="R45" s="39" t="str">
        <f t="shared" si="3"/>
        <v>X</v>
      </c>
      <c r="S45" s="34" t="s">
        <v>60</v>
      </c>
      <c r="T45" s="34" t="str">
        <f>IF('PL1(Full)'!$N45&gt;=20,"x",IF(AND('PL1(Full)'!$N45&gt;=15,'PL1(Full)'!$P45&gt;60),"x",""))</f>
        <v>x</v>
      </c>
      <c r="U45" s="34" t="str">
        <f>IF(AND('PL1(Full)'!$H45="Thôn",'PL1(Full)'!$I45&lt;75),"x",IF(AND('PL1(Full)'!$H45="Tổ",'PL1(Full)'!$I45&lt;100),"x","-"))</f>
        <v>x</v>
      </c>
      <c r="V45" s="34" t="str">
        <f>IF(AND('PL1(Full)'!$H45="Thôn",'PL1(Full)'!$I45&lt;140),"x",IF(AND('PL1(Full)'!$H45="Tổ",'PL1(Full)'!$I45&lt;210),"x","-"))</f>
        <v>x</v>
      </c>
      <c r="W45" s="40" t="str">
        <f t="shared" si="14"/>
        <v>Loại 3</v>
      </c>
      <c r="X45" s="31"/>
    </row>
    <row r="46" spans="1:24" ht="15.75" customHeight="1">
      <c r="A46" s="30">
        <f>_xlfn.AGGREGATE(4,7,A$6:A45)+1</f>
        <v>23</v>
      </c>
      <c r="B46" s="31" t="str">
        <f t="shared" si="13"/>
        <v>H. Ba Bể</v>
      </c>
      <c r="C46" s="31" t="str">
        <f t="shared" si="17"/>
        <v>X. Chu Hương</v>
      </c>
      <c r="D46" s="34"/>
      <c r="E46" s="34" t="s">
        <v>58</v>
      </c>
      <c r="F46" s="54" t="s">
        <v>95</v>
      </c>
      <c r="G46" s="34"/>
      <c r="H46" s="34" t="str">
        <f>IF(LEFT('PL1(Full)'!$F46,4)="Thôn","Thôn","Tổ")</f>
        <v>Thôn</v>
      </c>
      <c r="I46" s="36">
        <v>45</v>
      </c>
      <c r="J46" s="36">
        <v>174</v>
      </c>
      <c r="K46" s="36">
        <v>44</v>
      </c>
      <c r="L46" s="37">
        <f t="shared" si="0"/>
        <v>97.777777777777771</v>
      </c>
      <c r="M46" s="36">
        <v>12</v>
      </c>
      <c r="N46" s="38">
        <f t="shared" si="1"/>
        <v>26.666666666666668</v>
      </c>
      <c r="O46" s="36">
        <v>12</v>
      </c>
      <c r="P46" s="38">
        <f t="shared" si="2"/>
        <v>100</v>
      </c>
      <c r="Q46" s="39" t="s">
        <v>63</v>
      </c>
      <c r="R46" s="39" t="str">
        <f t="shared" si="3"/>
        <v>X</v>
      </c>
      <c r="S46" s="34" t="s">
        <v>60</v>
      </c>
      <c r="T46" s="34" t="str">
        <f>IF('PL1(Full)'!$N46&gt;=20,"x",IF(AND('PL1(Full)'!$N46&gt;=15,'PL1(Full)'!$P46&gt;60),"x",""))</f>
        <v>x</v>
      </c>
      <c r="U46" s="34" t="str">
        <f>IF(AND('PL1(Full)'!$H46="Thôn",'PL1(Full)'!$I46&lt;75),"x",IF(AND('PL1(Full)'!$H46="Tổ",'PL1(Full)'!$I46&lt;100),"x","-"))</f>
        <v>x</v>
      </c>
      <c r="V46" s="34" t="str">
        <f>IF(AND('PL1(Full)'!$H46="Thôn",'PL1(Full)'!$I46&lt;140),"x",IF(AND('PL1(Full)'!$H46="Tổ",'PL1(Full)'!$I46&lt;210),"x","-"))</f>
        <v>x</v>
      </c>
      <c r="W46" s="40" t="str">
        <f t="shared" si="14"/>
        <v>Loại 3</v>
      </c>
      <c r="X46" s="31"/>
    </row>
    <row r="47" spans="1:24" ht="15.75" customHeight="1">
      <c r="A47" s="30">
        <f>_xlfn.AGGREGATE(4,7,A$6:A46)+1</f>
        <v>24</v>
      </c>
      <c r="B47" s="31" t="str">
        <f t="shared" si="13"/>
        <v>H. Ba Bể</v>
      </c>
      <c r="C47" s="31" t="str">
        <f t="shared" si="17"/>
        <v>X. Chu Hương</v>
      </c>
      <c r="D47" s="34"/>
      <c r="E47" s="34" t="s">
        <v>58</v>
      </c>
      <c r="F47" s="54" t="s">
        <v>96</v>
      </c>
      <c r="G47" s="34"/>
      <c r="H47" s="34" t="str">
        <f>IF(LEFT('PL1(Full)'!$F47,4)="Thôn","Thôn","Tổ")</f>
        <v>Thôn</v>
      </c>
      <c r="I47" s="36">
        <v>41</v>
      </c>
      <c r="J47" s="36">
        <v>167</v>
      </c>
      <c r="K47" s="36">
        <v>40</v>
      </c>
      <c r="L47" s="37">
        <f t="shared" si="0"/>
        <v>97.560975609756099</v>
      </c>
      <c r="M47" s="36">
        <v>13</v>
      </c>
      <c r="N47" s="38">
        <f t="shared" si="1"/>
        <v>31.707317073170731</v>
      </c>
      <c r="O47" s="36">
        <v>13</v>
      </c>
      <c r="P47" s="38">
        <f t="shared" si="2"/>
        <v>100</v>
      </c>
      <c r="Q47" s="39" t="s">
        <v>63</v>
      </c>
      <c r="R47" s="39" t="str">
        <f t="shared" si="3"/>
        <v>X</v>
      </c>
      <c r="S47" s="34" t="s">
        <v>60</v>
      </c>
      <c r="T47" s="34" t="str">
        <f>IF('PL1(Full)'!$N47&gt;=20,"x",IF(AND('PL1(Full)'!$N47&gt;=15,'PL1(Full)'!$P47&gt;60),"x",""))</f>
        <v>x</v>
      </c>
      <c r="U47" s="34" t="str">
        <f>IF(AND('PL1(Full)'!$H47="Thôn",'PL1(Full)'!$I47&lt;75),"x",IF(AND('PL1(Full)'!$H47="Tổ",'PL1(Full)'!$I47&lt;100),"x","-"))</f>
        <v>x</v>
      </c>
      <c r="V47" s="34" t="str">
        <f>IF(AND('PL1(Full)'!$H47="Thôn",'PL1(Full)'!$I47&lt;140),"x",IF(AND('PL1(Full)'!$H47="Tổ",'PL1(Full)'!$I47&lt;210),"x","-"))</f>
        <v>x</v>
      </c>
      <c r="W47" s="40" t="str">
        <f t="shared" si="14"/>
        <v>Loại 3</v>
      </c>
      <c r="X47" s="31"/>
    </row>
    <row r="48" spans="1:24" ht="15.75" customHeight="1">
      <c r="A48" s="30">
        <f>_xlfn.AGGREGATE(4,7,A$6:A47)+1</f>
        <v>25</v>
      </c>
      <c r="B48" s="31" t="str">
        <f t="shared" si="13"/>
        <v>H. Ba Bể</v>
      </c>
      <c r="C48" s="31" t="str">
        <f t="shared" si="17"/>
        <v>X. Chu Hương</v>
      </c>
      <c r="D48" s="34"/>
      <c r="E48" s="34" t="s">
        <v>58</v>
      </c>
      <c r="F48" s="54" t="s">
        <v>97</v>
      </c>
      <c r="G48" s="34"/>
      <c r="H48" s="34" t="str">
        <f>IF(LEFT('PL1(Full)'!$F48,4)="Thôn","Thôn","Tổ")</f>
        <v>Thôn</v>
      </c>
      <c r="I48" s="36">
        <v>32</v>
      </c>
      <c r="J48" s="36">
        <v>164</v>
      </c>
      <c r="K48" s="36">
        <v>32</v>
      </c>
      <c r="L48" s="37">
        <f t="shared" si="0"/>
        <v>100</v>
      </c>
      <c r="M48" s="36">
        <v>15</v>
      </c>
      <c r="N48" s="38">
        <f t="shared" si="1"/>
        <v>46.875</v>
      </c>
      <c r="O48" s="36">
        <v>15</v>
      </c>
      <c r="P48" s="38">
        <f t="shared" si="2"/>
        <v>100</v>
      </c>
      <c r="Q48" s="39" t="s">
        <v>63</v>
      </c>
      <c r="R48" s="39" t="str">
        <f t="shared" si="3"/>
        <v>X</v>
      </c>
      <c r="S48" s="34" t="s">
        <v>60</v>
      </c>
      <c r="T48" s="34" t="str">
        <f>IF('PL1(Full)'!$N48&gt;=20,"x",IF(AND('PL1(Full)'!$N48&gt;=15,'PL1(Full)'!$P48&gt;60),"x",""))</f>
        <v>x</v>
      </c>
      <c r="U48" s="34" t="str">
        <f>IF(AND('PL1(Full)'!$H48="Thôn",'PL1(Full)'!$I48&lt;75),"x",IF(AND('PL1(Full)'!$H48="Tổ",'PL1(Full)'!$I48&lt;100),"x","-"))</f>
        <v>x</v>
      </c>
      <c r="V48" s="34" t="str">
        <f>IF(AND('PL1(Full)'!$H48="Thôn",'PL1(Full)'!$I48&lt;140),"x",IF(AND('PL1(Full)'!$H48="Tổ",'PL1(Full)'!$I48&lt;210),"x","-"))</f>
        <v>x</v>
      </c>
      <c r="W48" s="40" t="str">
        <f t="shared" si="14"/>
        <v>Loại 3</v>
      </c>
      <c r="X48" s="31"/>
    </row>
    <row r="49" spans="1:24" ht="15.75" customHeight="1">
      <c r="A49" s="30">
        <f>_xlfn.AGGREGATE(4,7,A$6:A48)+1</f>
        <v>26</v>
      </c>
      <c r="B49" s="31" t="str">
        <f t="shared" si="13"/>
        <v>H. Ba Bể</v>
      </c>
      <c r="C49" s="31" t="str">
        <f t="shared" si="17"/>
        <v>X. Chu Hương</v>
      </c>
      <c r="D49" s="34"/>
      <c r="E49" s="34" t="s">
        <v>58</v>
      </c>
      <c r="F49" s="54" t="s">
        <v>98</v>
      </c>
      <c r="G49" s="34"/>
      <c r="H49" s="34" t="str">
        <f>IF(LEFT('PL1(Full)'!$F49,4)="Thôn","Thôn","Tổ")</f>
        <v>Thôn</v>
      </c>
      <c r="I49" s="36">
        <v>65</v>
      </c>
      <c r="J49" s="36">
        <v>253</v>
      </c>
      <c r="K49" s="36">
        <v>65</v>
      </c>
      <c r="L49" s="37">
        <f t="shared" si="0"/>
        <v>100</v>
      </c>
      <c r="M49" s="36">
        <v>18</v>
      </c>
      <c r="N49" s="38">
        <f t="shared" si="1"/>
        <v>27.692307692307693</v>
      </c>
      <c r="O49" s="36">
        <v>18</v>
      </c>
      <c r="P49" s="38">
        <f t="shared" si="2"/>
        <v>100</v>
      </c>
      <c r="Q49" s="39" t="s">
        <v>63</v>
      </c>
      <c r="R49" s="39" t="str">
        <f t="shared" si="3"/>
        <v>X</v>
      </c>
      <c r="S49" s="34" t="s">
        <v>60</v>
      </c>
      <c r="T49" s="34" t="str">
        <f>IF('PL1(Full)'!$N49&gt;=20,"x",IF(AND('PL1(Full)'!$N49&gt;=15,'PL1(Full)'!$P49&gt;60),"x",""))</f>
        <v>x</v>
      </c>
      <c r="U49" s="34" t="str">
        <f>IF(AND('PL1(Full)'!$H49="Thôn",'PL1(Full)'!$I49&lt;75),"x",IF(AND('PL1(Full)'!$H49="Tổ",'PL1(Full)'!$I49&lt;100),"x","-"))</f>
        <v>x</v>
      </c>
      <c r="V49" s="34" t="str">
        <f>IF(AND('PL1(Full)'!$H49="Thôn",'PL1(Full)'!$I49&lt;140),"x",IF(AND('PL1(Full)'!$H49="Tổ",'PL1(Full)'!$I49&lt;210),"x","-"))</f>
        <v>x</v>
      </c>
      <c r="W49" s="40" t="str">
        <f t="shared" si="14"/>
        <v>Loại 3</v>
      </c>
      <c r="X49" s="31"/>
    </row>
    <row r="50" spans="1:24" ht="15.75" customHeight="1">
      <c r="A50" s="30">
        <f>_xlfn.AGGREGATE(4,7,A$6:A49)+1</f>
        <v>27</v>
      </c>
      <c r="B50" s="31" t="str">
        <f t="shared" si="13"/>
        <v>H. Ba Bể</v>
      </c>
      <c r="C50" s="31" t="str">
        <f t="shared" si="17"/>
        <v>X. Chu Hương</v>
      </c>
      <c r="D50" s="34"/>
      <c r="E50" s="34" t="s">
        <v>58</v>
      </c>
      <c r="F50" s="54" t="s">
        <v>99</v>
      </c>
      <c r="G50" s="34"/>
      <c r="H50" s="34" t="str">
        <f>IF(LEFT('PL1(Full)'!$F50,4)="Thôn","Thôn","Tổ")</f>
        <v>Thôn</v>
      </c>
      <c r="I50" s="36">
        <v>33</v>
      </c>
      <c r="J50" s="36">
        <v>135</v>
      </c>
      <c r="K50" s="36">
        <v>33</v>
      </c>
      <c r="L50" s="37">
        <f t="shared" si="0"/>
        <v>100</v>
      </c>
      <c r="M50" s="36">
        <v>8</v>
      </c>
      <c r="N50" s="38">
        <f t="shared" si="1"/>
        <v>24.242424242424242</v>
      </c>
      <c r="O50" s="36">
        <v>8</v>
      </c>
      <c r="P50" s="38">
        <f t="shared" si="2"/>
        <v>100</v>
      </c>
      <c r="Q50" s="39" t="s">
        <v>82</v>
      </c>
      <c r="R50" s="39" t="str">
        <f t="shared" si="3"/>
        <v>X</v>
      </c>
      <c r="S50" s="34" t="s">
        <v>60</v>
      </c>
      <c r="T50" s="34" t="str">
        <f>IF('PL1(Full)'!$N50&gt;=20,"x",IF(AND('PL1(Full)'!$N50&gt;=15,'PL1(Full)'!$P50&gt;60),"x",""))</f>
        <v>x</v>
      </c>
      <c r="U50" s="34" t="str">
        <f>IF(AND('PL1(Full)'!$H50="Thôn",'PL1(Full)'!$I50&lt;75),"x",IF(AND('PL1(Full)'!$H50="Tổ",'PL1(Full)'!$I50&lt;100),"x","-"))</f>
        <v>x</v>
      </c>
      <c r="V50" s="34" t="str">
        <f>IF(AND('PL1(Full)'!$H50="Thôn",'PL1(Full)'!$I50&lt;140),"x",IF(AND('PL1(Full)'!$H50="Tổ",'PL1(Full)'!$I50&lt;210),"x","-"))</f>
        <v>x</v>
      </c>
      <c r="W50" s="40" t="str">
        <f t="shared" si="14"/>
        <v>Loại 3</v>
      </c>
      <c r="X50" s="31"/>
    </row>
    <row r="51" spans="1:24" ht="15.75" hidden="1" customHeight="1">
      <c r="A51" s="41">
        <f>_xlfn.AGGREGATE(4,7,A$6:A50)+1</f>
        <v>28</v>
      </c>
      <c r="B51" s="42" t="str">
        <f t="shared" si="13"/>
        <v>H. Ba Bể</v>
      </c>
      <c r="C51" s="42" t="str">
        <f t="shared" si="17"/>
        <v>X. Chu Hương</v>
      </c>
      <c r="D51" s="50"/>
      <c r="E51" s="50" t="s">
        <v>58</v>
      </c>
      <c r="F51" s="55" t="s">
        <v>100</v>
      </c>
      <c r="G51" s="50" t="s">
        <v>40</v>
      </c>
      <c r="H51" s="50" t="str">
        <f>IF(LEFT('PL1(Full)'!$F51,4)="Thôn","Thôn","Tổ")</f>
        <v>Thôn</v>
      </c>
      <c r="I51" s="46">
        <v>111</v>
      </c>
      <c r="J51" s="46">
        <v>453</v>
      </c>
      <c r="K51" s="46">
        <v>95</v>
      </c>
      <c r="L51" s="47">
        <f t="shared" si="0"/>
        <v>85.585585585585591</v>
      </c>
      <c r="M51" s="46">
        <v>16</v>
      </c>
      <c r="N51" s="48">
        <f t="shared" si="1"/>
        <v>14.414414414414415</v>
      </c>
      <c r="O51" s="46">
        <v>14</v>
      </c>
      <c r="P51" s="48">
        <f t="shared" si="2"/>
        <v>87.5</v>
      </c>
      <c r="Q51" s="49" t="s">
        <v>82</v>
      </c>
      <c r="R51" s="49" t="str">
        <f t="shared" si="3"/>
        <v>X</v>
      </c>
      <c r="S51" s="50"/>
      <c r="T51" s="50" t="str">
        <f>IF('PL1(Full)'!$N51&gt;=20,"x",IF(AND('PL1(Full)'!$N51&gt;=15,'PL1(Full)'!$P51&gt;60),"x",""))</f>
        <v/>
      </c>
      <c r="U51" s="50" t="str">
        <f>IF(AND('PL1(Full)'!$H51="Thôn",'PL1(Full)'!$I51&lt;75),"x",IF(AND('PL1(Full)'!$H51="Tổ",'PL1(Full)'!$I51&lt;100),"x","-"))</f>
        <v>-</v>
      </c>
      <c r="V51" s="34" t="str">
        <f>IF(AND('PL1(Full)'!$H51="Thôn",'PL1(Full)'!$I51&lt;140),"x",IF(AND('PL1(Full)'!$H51="Tổ",'PL1(Full)'!$I51&lt;210),"x","-"))</f>
        <v>x</v>
      </c>
      <c r="W51" s="51" t="str">
        <f t="shared" si="14"/>
        <v>Loại 2</v>
      </c>
      <c r="X51" s="42"/>
    </row>
    <row r="52" spans="1:24" ht="15.75" hidden="1" customHeight="1">
      <c r="A52" s="52">
        <f>_xlfn.AGGREGATE(4,7,A$6:A51)+1</f>
        <v>28</v>
      </c>
      <c r="B52" s="14" t="str">
        <f t="shared" si="13"/>
        <v>H. Ba Bể</v>
      </c>
      <c r="C52" s="14" t="s">
        <v>101</v>
      </c>
      <c r="D52" s="25" t="s">
        <v>102</v>
      </c>
      <c r="E52" s="25" t="s">
        <v>102</v>
      </c>
      <c r="F52" s="14" t="s">
        <v>103</v>
      </c>
      <c r="G52" s="25" t="s">
        <v>40</v>
      </c>
      <c r="H52" s="25" t="str">
        <f>IF(LEFT('PL1(Full)'!$F52,4)="Thôn","Thôn","Tổ")</f>
        <v>Thôn</v>
      </c>
      <c r="I52" s="20">
        <v>156</v>
      </c>
      <c r="J52" s="20">
        <v>637</v>
      </c>
      <c r="K52" s="20">
        <v>150</v>
      </c>
      <c r="L52" s="21">
        <f t="shared" si="0"/>
        <v>96.15384615384616</v>
      </c>
      <c r="M52" s="20">
        <v>69</v>
      </c>
      <c r="N52" s="22">
        <f t="shared" si="1"/>
        <v>44.230769230769234</v>
      </c>
      <c r="O52" s="20">
        <v>69</v>
      </c>
      <c r="P52" s="22">
        <f t="shared" si="2"/>
        <v>100</v>
      </c>
      <c r="Q52" s="23" t="s">
        <v>82</v>
      </c>
      <c r="R52" s="24" t="str">
        <f t="shared" si="3"/>
        <v>X</v>
      </c>
      <c r="S52" s="25"/>
      <c r="T52" s="26" t="str">
        <f>IF('PL1(Full)'!$N52&gt;=20,"x",IF(AND('PL1(Full)'!$N52&gt;=15,'PL1(Full)'!$P52&gt;60),"x",""))</f>
        <v>x</v>
      </c>
      <c r="U52" s="27" t="str">
        <f>IF(AND('PL1(Full)'!$H52="Thôn",'PL1(Full)'!$I52&lt;75),"x",IF(AND('PL1(Full)'!$H52="Tổ",'PL1(Full)'!$I52&lt;100),"x","-"))</f>
        <v>-</v>
      </c>
      <c r="V52" s="28" t="str">
        <f>IF(AND('PL1(Full)'!$H52="Thôn",'PL1(Full)'!$I52&lt;140),"x",IF(AND('PL1(Full)'!$H52="Tổ",'PL1(Full)'!$I52&lt;210),"x","-"))</f>
        <v>-</v>
      </c>
      <c r="W52" s="29" t="str">
        <f t="shared" si="14"/>
        <v>Loại 1</v>
      </c>
      <c r="X52" s="25"/>
    </row>
    <row r="53" spans="1:24" ht="15.75" customHeight="1">
      <c r="A53" s="30">
        <f>_xlfn.AGGREGATE(4,7,A$6:A52)+1</f>
        <v>28</v>
      </c>
      <c r="B53" s="31" t="str">
        <f t="shared" si="13"/>
        <v>H. Ba Bể</v>
      </c>
      <c r="C53" s="31" t="str">
        <f t="shared" ref="C53:C59" si="18">C52</f>
        <v>X. Địa Linh</v>
      </c>
      <c r="D53" s="34"/>
      <c r="E53" s="34" t="s">
        <v>102</v>
      </c>
      <c r="F53" s="31" t="s">
        <v>104</v>
      </c>
      <c r="G53" s="34"/>
      <c r="H53" s="34" t="str">
        <f>IF(LEFT('PL1(Full)'!$F53,4)="Thôn","Thôn","Tổ")</f>
        <v>Thôn</v>
      </c>
      <c r="I53" s="36">
        <v>16</v>
      </c>
      <c r="J53" s="36">
        <v>86</v>
      </c>
      <c r="K53" s="36">
        <v>16</v>
      </c>
      <c r="L53" s="37">
        <f t="shared" si="0"/>
        <v>100</v>
      </c>
      <c r="M53" s="36">
        <v>7</v>
      </c>
      <c r="N53" s="38">
        <f t="shared" si="1"/>
        <v>43.75</v>
      </c>
      <c r="O53" s="36">
        <v>7</v>
      </c>
      <c r="P53" s="38">
        <f t="shared" si="2"/>
        <v>100</v>
      </c>
      <c r="Q53" s="39" t="s">
        <v>82</v>
      </c>
      <c r="R53" s="39" t="str">
        <f t="shared" si="3"/>
        <v>X</v>
      </c>
      <c r="S53" s="34" t="s">
        <v>60</v>
      </c>
      <c r="T53" s="34" t="str">
        <f>IF('PL1(Full)'!$N53&gt;=20,"x",IF(AND('PL1(Full)'!$N53&gt;=15,'PL1(Full)'!$P53&gt;60),"x",""))</f>
        <v>x</v>
      </c>
      <c r="U53" s="34" t="str">
        <f>IF(AND('PL1(Full)'!$H53="Thôn",'PL1(Full)'!$I53&lt;75),"x",IF(AND('PL1(Full)'!$H53="Tổ",'PL1(Full)'!$I53&lt;100),"x","-"))</f>
        <v>x</v>
      </c>
      <c r="V53" s="34" t="str">
        <f>IF(AND('PL1(Full)'!$H53="Thôn",'PL1(Full)'!$I53&lt;140),"x",IF(AND('PL1(Full)'!$H53="Tổ",'PL1(Full)'!$I53&lt;210),"x","-"))</f>
        <v>x</v>
      </c>
      <c r="W53" s="40" t="str">
        <f t="shared" si="14"/>
        <v>Loại 3</v>
      </c>
      <c r="X53" s="34"/>
    </row>
    <row r="54" spans="1:24" ht="15.75" customHeight="1">
      <c r="A54" s="30">
        <f>_xlfn.AGGREGATE(4,7,A$6:A53)+1</f>
        <v>29</v>
      </c>
      <c r="B54" s="31" t="str">
        <f t="shared" si="13"/>
        <v>H. Ba Bể</v>
      </c>
      <c r="C54" s="31" t="str">
        <f t="shared" si="18"/>
        <v>X. Địa Linh</v>
      </c>
      <c r="D54" s="34"/>
      <c r="E54" s="34" t="s">
        <v>102</v>
      </c>
      <c r="F54" s="31" t="s">
        <v>105</v>
      </c>
      <c r="G54" s="34"/>
      <c r="H54" s="34" t="str">
        <f>IF(LEFT('PL1(Full)'!$F54,4)="Thôn","Thôn","Tổ")</f>
        <v>Thôn</v>
      </c>
      <c r="I54" s="36">
        <v>72</v>
      </c>
      <c r="J54" s="36">
        <v>378</v>
      </c>
      <c r="K54" s="36">
        <v>72</v>
      </c>
      <c r="L54" s="37">
        <f t="shared" si="0"/>
        <v>100</v>
      </c>
      <c r="M54" s="36">
        <v>65</v>
      </c>
      <c r="N54" s="38">
        <f t="shared" si="1"/>
        <v>90.277777777777771</v>
      </c>
      <c r="O54" s="36">
        <v>65</v>
      </c>
      <c r="P54" s="38">
        <f t="shared" si="2"/>
        <v>100</v>
      </c>
      <c r="Q54" s="39" t="s">
        <v>82</v>
      </c>
      <c r="R54" s="39" t="str">
        <f t="shared" si="3"/>
        <v>X</v>
      </c>
      <c r="S54" s="34" t="s">
        <v>60</v>
      </c>
      <c r="T54" s="34" t="str">
        <f>IF('PL1(Full)'!$N54&gt;=20,"x",IF(AND('PL1(Full)'!$N54&gt;=15,'PL1(Full)'!$P54&gt;60),"x",""))</f>
        <v>x</v>
      </c>
      <c r="U54" s="34" t="str">
        <f>IF(AND('PL1(Full)'!$H54="Thôn",'PL1(Full)'!$I54&lt;75),"x",IF(AND('PL1(Full)'!$H54="Tổ",'PL1(Full)'!$I54&lt;100),"x","-"))</f>
        <v>x</v>
      </c>
      <c r="V54" s="34" t="str">
        <f>IF(AND('PL1(Full)'!$H54="Thôn",'PL1(Full)'!$I54&lt;140),"x",IF(AND('PL1(Full)'!$H54="Tổ",'PL1(Full)'!$I54&lt;210),"x","-"))</f>
        <v>x</v>
      </c>
      <c r="W54" s="40" t="str">
        <f t="shared" si="14"/>
        <v>Loại 3</v>
      </c>
      <c r="X54" s="34"/>
    </row>
    <row r="55" spans="1:24" ht="15.75" hidden="1" customHeight="1">
      <c r="A55" s="30">
        <f>_xlfn.AGGREGATE(4,7,A$6:A54)+1</f>
        <v>30</v>
      </c>
      <c r="B55" s="31" t="str">
        <f t="shared" si="13"/>
        <v>H. Ba Bể</v>
      </c>
      <c r="C55" s="31" t="str">
        <f t="shared" si="18"/>
        <v>X. Địa Linh</v>
      </c>
      <c r="D55" s="34"/>
      <c r="E55" s="34" t="s">
        <v>102</v>
      </c>
      <c r="F55" s="31" t="s">
        <v>106</v>
      </c>
      <c r="G55" s="34" t="s">
        <v>40</v>
      </c>
      <c r="H55" s="34" t="str">
        <f>IF(LEFT('PL1(Full)'!$F55,4)="Thôn","Thôn","Tổ")</f>
        <v>Thôn</v>
      </c>
      <c r="I55" s="36">
        <v>143</v>
      </c>
      <c r="J55" s="36">
        <v>623</v>
      </c>
      <c r="K55" s="36">
        <v>135</v>
      </c>
      <c r="L55" s="37">
        <f t="shared" si="0"/>
        <v>94.4055944055944</v>
      </c>
      <c r="M55" s="36">
        <v>24</v>
      </c>
      <c r="N55" s="38">
        <f t="shared" si="1"/>
        <v>16.783216783216783</v>
      </c>
      <c r="O55" s="36">
        <v>24</v>
      </c>
      <c r="P55" s="38">
        <f t="shared" si="2"/>
        <v>100</v>
      </c>
      <c r="Q55" s="39" t="s">
        <v>56</v>
      </c>
      <c r="R55" s="39" t="str">
        <f t="shared" si="3"/>
        <v>X</v>
      </c>
      <c r="S55" s="34"/>
      <c r="T55" s="34" t="str">
        <f>IF('PL1(Full)'!$N55&gt;=20,"x",IF(AND('PL1(Full)'!$N55&gt;=15,'PL1(Full)'!$P55&gt;60),"x",""))</f>
        <v>x</v>
      </c>
      <c r="U55" s="34" t="str">
        <f>IF(AND('PL1(Full)'!$H55="Thôn",'PL1(Full)'!$I55&lt;75),"x",IF(AND('PL1(Full)'!$H55="Tổ",'PL1(Full)'!$I55&lt;100),"x","-"))</f>
        <v>-</v>
      </c>
      <c r="V55" s="34" t="str">
        <f>IF(AND('PL1(Full)'!$H55="Thôn",'PL1(Full)'!$I55&lt;140),"x",IF(AND('PL1(Full)'!$H55="Tổ",'PL1(Full)'!$I55&lt;210),"x","-"))</f>
        <v>-</v>
      </c>
      <c r="W55" s="40" t="str">
        <f t="shared" si="14"/>
        <v>Loại 2</v>
      </c>
      <c r="X55" s="34"/>
    </row>
    <row r="56" spans="1:24" ht="15.75" hidden="1" customHeight="1">
      <c r="A56" s="30">
        <f>_xlfn.AGGREGATE(4,7,A$6:A55)+1</f>
        <v>30</v>
      </c>
      <c r="B56" s="31" t="str">
        <f t="shared" si="13"/>
        <v>H. Ba Bể</v>
      </c>
      <c r="C56" s="31" t="str">
        <f t="shared" si="18"/>
        <v>X. Địa Linh</v>
      </c>
      <c r="D56" s="34"/>
      <c r="E56" s="34" t="s">
        <v>102</v>
      </c>
      <c r="F56" s="31" t="s">
        <v>107</v>
      </c>
      <c r="G56" s="34" t="s">
        <v>40</v>
      </c>
      <c r="H56" s="34" t="str">
        <f>IF(LEFT('PL1(Full)'!$F56,4)="Thôn","Thôn","Tổ")</f>
        <v>Thôn</v>
      </c>
      <c r="I56" s="36">
        <v>132</v>
      </c>
      <c r="J56" s="36">
        <v>573</v>
      </c>
      <c r="K56" s="36">
        <v>120</v>
      </c>
      <c r="L56" s="37">
        <f t="shared" si="0"/>
        <v>90.909090909090907</v>
      </c>
      <c r="M56" s="36">
        <v>8</v>
      </c>
      <c r="N56" s="38">
        <f t="shared" si="1"/>
        <v>6.0606060606060606</v>
      </c>
      <c r="O56" s="36">
        <v>8</v>
      </c>
      <c r="P56" s="38">
        <f t="shared" si="2"/>
        <v>100</v>
      </c>
      <c r="Q56" s="39" t="s">
        <v>56</v>
      </c>
      <c r="R56" s="39" t="str">
        <f t="shared" si="3"/>
        <v>X</v>
      </c>
      <c r="S56" s="34"/>
      <c r="T56" s="34" t="str">
        <f>IF('PL1(Full)'!$N56&gt;=20,"x",IF(AND('PL1(Full)'!$N56&gt;=15,'PL1(Full)'!$P56&gt;60),"x",""))</f>
        <v/>
      </c>
      <c r="U56" s="34" t="str">
        <f>IF(AND('PL1(Full)'!$H56="Thôn",'PL1(Full)'!$I56&lt;75),"x",IF(AND('PL1(Full)'!$H56="Tổ",'PL1(Full)'!$I56&lt;100),"x","-"))</f>
        <v>-</v>
      </c>
      <c r="V56" s="34" t="str">
        <f>IF(AND('PL1(Full)'!$H56="Thôn",'PL1(Full)'!$I56&lt;140),"x",IF(AND('PL1(Full)'!$H56="Tổ",'PL1(Full)'!$I56&lt;210),"x","-"))</f>
        <v>x</v>
      </c>
      <c r="W56" s="40" t="str">
        <f t="shared" si="14"/>
        <v>Loại 2</v>
      </c>
      <c r="X56" s="34"/>
    </row>
    <row r="57" spans="1:24" ht="15.75" hidden="1" customHeight="1">
      <c r="A57" s="30">
        <f>_xlfn.AGGREGATE(4,7,A$6:A56)+1</f>
        <v>30</v>
      </c>
      <c r="B57" s="31" t="str">
        <f t="shared" si="13"/>
        <v>H. Ba Bể</v>
      </c>
      <c r="C57" s="31" t="str">
        <f t="shared" si="18"/>
        <v>X. Địa Linh</v>
      </c>
      <c r="D57" s="34"/>
      <c r="E57" s="34" t="s">
        <v>102</v>
      </c>
      <c r="F57" s="31" t="s">
        <v>108</v>
      </c>
      <c r="G57" s="34" t="s">
        <v>40</v>
      </c>
      <c r="H57" s="34" t="str">
        <f>IF(LEFT('PL1(Full)'!$F57,4)="Thôn","Thôn","Tổ")</f>
        <v>Thôn</v>
      </c>
      <c r="I57" s="36">
        <v>172</v>
      </c>
      <c r="J57" s="36">
        <v>756</v>
      </c>
      <c r="K57" s="36">
        <v>168</v>
      </c>
      <c r="L57" s="37">
        <f t="shared" si="0"/>
        <v>97.674418604651166</v>
      </c>
      <c r="M57" s="36">
        <v>23</v>
      </c>
      <c r="N57" s="38">
        <f t="shared" si="1"/>
        <v>13.372093023255815</v>
      </c>
      <c r="O57" s="36">
        <v>15</v>
      </c>
      <c r="P57" s="38">
        <f t="shared" si="2"/>
        <v>65.217391304347828</v>
      </c>
      <c r="Q57" s="39" t="s">
        <v>82</v>
      </c>
      <c r="R57" s="39" t="str">
        <f t="shared" si="3"/>
        <v>X</v>
      </c>
      <c r="S57" s="34"/>
      <c r="T57" s="34" t="str">
        <f>IF('PL1(Full)'!$N57&gt;=20,"x",IF(AND('PL1(Full)'!$N57&gt;=15,'PL1(Full)'!$P57&gt;60),"x",""))</f>
        <v/>
      </c>
      <c r="U57" s="34" t="str">
        <f>IF(AND('PL1(Full)'!$H57="Thôn",'PL1(Full)'!$I57&lt;75),"x",IF(AND('PL1(Full)'!$H57="Tổ",'PL1(Full)'!$I57&lt;100),"x","-"))</f>
        <v>-</v>
      </c>
      <c r="V57" s="34" t="str">
        <f>IF(AND('PL1(Full)'!$H57="Thôn",'PL1(Full)'!$I57&lt;140),"x",IF(AND('PL1(Full)'!$H57="Tổ",'PL1(Full)'!$I57&lt;210),"x","-"))</f>
        <v>-</v>
      </c>
      <c r="W57" s="40" t="str">
        <f t="shared" si="14"/>
        <v>Loại 1</v>
      </c>
      <c r="X57" s="34"/>
    </row>
    <row r="58" spans="1:24" ht="15.75" hidden="1" customHeight="1">
      <c r="A58" s="30">
        <f>_xlfn.AGGREGATE(4,7,A$6:A57)+1</f>
        <v>30</v>
      </c>
      <c r="B58" s="31" t="str">
        <f t="shared" si="13"/>
        <v>H. Ba Bể</v>
      </c>
      <c r="C58" s="31" t="str">
        <f t="shared" si="18"/>
        <v>X. Địa Linh</v>
      </c>
      <c r="D58" s="34"/>
      <c r="E58" s="34" t="s">
        <v>102</v>
      </c>
      <c r="F58" s="31" t="s">
        <v>109</v>
      </c>
      <c r="G58" s="34" t="s">
        <v>40</v>
      </c>
      <c r="H58" s="34" t="str">
        <f>IF(LEFT('PL1(Full)'!$F58,4)="Thôn","Thôn","Tổ")</f>
        <v>Thôn</v>
      </c>
      <c r="I58" s="36">
        <v>121</v>
      </c>
      <c r="J58" s="36">
        <v>502</v>
      </c>
      <c r="K58" s="36">
        <v>110</v>
      </c>
      <c r="L58" s="37">
        <f t="shared" si="0"/>
        <v>90.909090909090907</v>
      </c>
      <c r="M58" s="36">
        <v>18</v>
      </c>
      <c r="N58" s="38">
        <f t="shared" si="1"/>
        <v>14.87603305785124</v>
      </c>
      <c r="O58" s="36">
        <v>18</v>
      </c>
      <c r="P58" s="38">
        <f t="shared" si="2"/>
        <v>100</v>
      </c>
      <c r="Q58" s="39" t="s">
        <v>82</v>
      </c>
      <c r="R58" s="39" t="str">
        <f t="shared" si="3"/>
        <v>X</v>
      </c>
      <c r="S58" s="34"/>
      <c r="T58" s="34" t="str">
        <f>IF('PL1(Full)'!$N58&gt;=20,"x",IF(AND('PL1(Full)'!$N58&gt;=15,'PL1(Full)'!$P58&gt;60),"x",""))</f>
        <v/>
      </c>
      <c r="U58" s="34" t="str">
        <f>IF(AND('PL1(Full)'!$H58="Thôn",'PL1(Full)'!$I58&lt;75),"x",IF(AND('PL1(Full)'!$H58="Tổ",'PL1(Full)'!$I58&lt;100),"x","-"))</f>
        <v>-</v>
      </c>
      <c r="V58" s="34" t="str">
        <f>IF(AND('PL1(Full)'!$H58="Thôn",'PL1(Full)'!$I58&lt;140),"x",IF(AND('PL1(Full)'!$H58="Tổ",'PL1(Full)'!$I58&lt;210),"x","-"))</f>
        <v>x</v>
      </c>
      <c r="W58" s="40" t="str">
        <f t="shared" si="14"/>
        <v>Loại 2</v>
      </c>
      <c r="X58" s="34"/>
    </row>
    <row r="59" spans="1:24" ht="15.75" customHeight="1">
      <c r="A59" s="41">
        <f>_xlfn.AGGREGATE(4,7,A$6:A58)+1</f>
        <v>30</v>
      </c>
      <c r="B59" s="42" t="str">
        <f t="shared" si="13"/>
        <v>H. Ba Bể</v>
      </c>
      <c r="C59" s="42" t="str">
        <f t="shared" si="18"/>
        <v>X. Địa Linh</v>
      </c>
      <c r="D59" s="50"/>
      <c r="E59" s="50" t="s">
        <v>102</v>
      </c>
      <c r="F59" s="42" t="s">
        <v>110</v>
      </c>
      <c r="G59" s="50"/>
      <c r="H59" s="50" t="str">
        <f>IF(LEFT('PL1(Full)'!$F59,4)="Thôn","Thôn","Tổ")</f>
        <v>Thôn</v>
      </c>
      <c r="I59" s="46">
        <v>51</v>
      </c>
      <c r="J59" s="46">
        <v>206</v>
      </c>
      <c r="K59" s="46">
        <v>11</v>
      </c>
      <c r="L59" s="47">
        <f t="shared" si="0"/>
        <v>21.568627450980394</v>
      </c>
      <c r="M59" s="46">
        <v>15</v>
      </c>
      <c r="N59" s="48">
        <f t="shared" si="1"/>
        <v>29.411764705882351</v>
      </c>
      <c r="O59" s="46">
        <v>5</v>
      </c>
      <c r="P59" s="48">
        <f t="shared" si="2"/>
        <v>33.333333333333336</v>
      </c>
      <c r="Q59" s="49" t="s">
        <v>82</v>
      </c>
      <c r="R59" s="49" t="str">
        <f t="shared" si="3"/>
        <v>X</v>
      </c>
      <c r="S59" s="50" t="s">
        <v>60</v>
      </c>
      <c r="T59" s="50" t="str">
        <f>IF('PL1(Full)'!$N59&gt;=20,"x",IF(AND('PL1(Full)'!$N59&gt;=15,'PL1(Full)'!$P59&gt;60),"x",""))</f>
        <v>x</v>
      </c>
      <c r="U59" s="50" t="str">
        <f>IF(AND('PL1(Full)'!$H59="Thôn",'PL1(Full)'!$I59&lt;75),"x",IF(AND('PL1(Full)'!$H59="Tổ",'PL1(Full)'!$I59&lt;100),"x","-"))</f>
        <v>x</v>
      </c>
      <c r="V59" s="34" t="str">
        <f>IF(AND('PL1(Full)'!$H59="Thôn",'PL1(Full)'!$I59&lt;140),"x",IF(AND('PL1(Full)'!$H59="Tổ",'PL1(Full)'!$I59&lt;210),"x","-"))</f>
        <v>x</v>
      </c>
      <c r="W59" s="51" t="str">
        <f t="shared" si="14"/>
        <v>Loại 3</v>
      </c>
      <c r="X59" s="50"/>
    </row>
    <row r="60" spans="1:24" ht="15.75" hidden="1" customHeight="1">
      <c r="A60" s="52">
        <f>_xlfn.AGGREGATE(4,7,A$6:A59)+1</f>
        <v>31</v>
      </c>
      <c r="B60" s="14" t="str">
        <f t="shared" si="13"/>
        <v>H. Ba Bể</v>
      </c>
      <c r="C60" s="14" t="s">
        <v>111</v>
      </c>
      <c r="D60" s="15" t="s">
        <v>58</v>
      </c>
      <c r="E60" s="16" t="s">
        <v>58</v>
      </c>
      <c r="F60" s="17" t="s">
        <v>112</v>
      </c>
      <c r="G60" s="18"/>
      <c r="H60" s="18" t="str">
        <f>IF(LEFT('PL1(Full)'!$F60,4)="Thôn","Thôn","Tổ")</f>
        <v>Thôn</v>
      </c>
      <c r="I60" s="20">
        <v>90</v>
      </c>
      <c r="J60" s="20">
        <v>371</v>
      </c>
      <c r="K60" s="20">
        <v>90</v>
      </c>
      <c r="L60" s="21">
        <f t="shared" si="0"/>
        <v>100</v>
      </c>
      <c r="M60" s="20">
        <v>15</v>
      </c>
      <c r="N60" s="22">
        <f t="shared" si="1"/>
        <v>16.666666666666668</v>
      </c>
      <c r="O60" s="20">
        <v>15</v>
      </c>
      <c r="P60" s="22">
        <f t="shared" si="2"/>
        <v>100</v>
      </c>
      <c r="Q60" s="23" t="s">
        <v>43</v>
      </c>
      <c r="R60" s="24" t="str">
        <f t="shared" si="3"/>
        <v>X</v>
      </c>
      <c r="S60" s="25" t="s">
        <v>60</v>
      </c>
      <c r="T60" s="26" t="str">
        <f>IF('PL1(Full)'!$N60&gt;=20,"x",IF(AND('PL1(Full)'!$N60&gt;=15,'PL1(Full)'!$P60&gt;60),"x",""))</f>
        <v>x</v>
      </c>
      <c r="U60" s="27" t="str">
        <f>IF(AND('PL1(Full)'!$H60="Thôn",'PL1(Full)'!$I60&lt;75),"x",IF(AND('PL1(Full)'!$H60="Tổ",'PL1(Full)'!$I60&lt;100),"x","-"))</f>
        <v>-</v>
      </c>
      <c r="V60" s="28" t="str">
        <f>IF(AND('PL1(Full)'!$H60="Thôn",'PL1(Full)'!$I60&lt;140),"x",IF(AND('PL1(Full)'!$H60="Tổ",'PL1(Full)'!$I60&lt;210),"x","-"))</f>
        <v>x</v>
      </c>
      <c r="W60" s="29" t="str">
        <f t="shared" si="14"/>
        <v>Loại 3</v>
      </c>
      <c r="X60" s="25"/>
    </row>
    <row r="61" spans="1:24" ht="15.75" hidden="1" customHeight="1">
      <c r="A61" s="30">
        <f>_xlfn.AGGREGATE(4,7,A$6:A60)+1</f>
        <v>31</v>
      </c>
      <c r="B61" s="31" t="str">
        <f t="shared" si="13"/>
        <v>H. Ba Bể</v>
      </c>
      <c r="C61" s="31" t="str">
        <f t="shared" ref="C61:C72" si="19">C60</f>
        <v>X. Đồng Phúc</v>
      </c>
      <c r="D61" s="32"/>
      <c r="E61" s="32" t="s">
        <v>58</v>
      </c>
      <c r="F61" s="33" t="s">
        <v>113</v>
      </c>
      <c r="G61" s="32"/>
      <c r="H61" s="32" t="str">
        <f>IF(LEFT('PL1(Full)'!$F61,4)="Thôn","Thôn","Tổ")</f>
        <v>Thôn</v>
      </c>
      <c r="I61" s="36">
        <v>78</v>
      </c>
      <c r="J61" s="36">
        <v>331</v>
      </c>
      <c r="K61" s="36">
        <v>78</v>
      </c>
      <c r="L61" s="37">
        <f t="shared" si="0"/>
        <v>100</v>
      </c>
      <c r="M61" s="36">
        <v>10</v>
      </c>
      <c r="N61" s="38">
        <f t="shared" si="1"/>
        <v>12.820512820512821</v>
      </c>
      <c r="O61" s="36">
        <v>10</v>
      </c>
      <c r="P61" s="38">
        <f t="shared" si="2"/>
        <v>100</v>
      </c>
      <c r="Q61" s="39" t="s">
        <v>47</v>
      </c>
      <c r="R61" s="39" t="str">
        <f t="shared" si="3"/>
        <v>X</v>
      </c>
      <c r="S61" s="34"/>
      <c r="T61" s="34" t="str">
        <f>IF('PL1(Full)'!$N61&gt;=20,"x",IF(AND('PL1(Full)'!$N61&gt;=15,'PL1(Full)'!$P61&gt;60),"x",""))</f>
        <v/>
      </c>
      <c r="U61" s="34" t="str">
        <f>IF(AND('PL1(Full)'!$H61="Thôn",'PL1(Full)'!$I61&lt;75),"x",IF(AND('PL1(Full)'!$H61="Tổ",'PL1(Full)'!$I61&lt;100),"x","-"))</f>
        <v>-</v>
      </c>
      <c r="V61" s="34" t="str">
        <f>IF(AND('PL1(Full)'!$H61="Thôn",'PL1(Full)'!$I61&lt;140),"x",IF(AND('PL1(Full)'!$H61="Tổ",'PL1(Full)'!$I61&lt;210),"x","-"))</f>
        <v>x</v>
      </c>
      <c r="W61" s="40" t="str">
        <f t="shared" si="14"/>
        <v>Loại 3</v>
      </c>
      <c r="X61" s="34"/>
    </row>
    <row r="62" spans="1:24" ht="15.75" customHeight="1">
      <c r="A62" s="30">
        <f>_xlfn.AGGREGATE(4,7,A$6:A61)+1</f>
        <v>31</v>
      </c>
      <c r="B62" s="31" t="str">
        <f t="shared" si="13"/>
        <v>H. Ba Bể</v>
      </c>
      <c r="C62" s="31" t="str">
        <f t="shared" si="19"/>
        <v>X. Đồng Phúc</v>
      </c>
      <c r="D62" s="32"/>
      <c r="E62" s="32" t="s">
        <v>58</v>
      </c>
      <c r="F62" s="33" t="s">
        <v>114</v>
      </c>
      <c r="G62" s="32"/>
      <c r="H62" s="32" t="str">
        <f>IF(LEFT('PL1(Full)'!$F62,4)="Thôn","Thôn","Tổ")</f>
        <v>Thôn</v>
      </c>
      <c r="I62" s="36">
        <v>21</v>
      </c>
      <c r="J62" s="36">
        <v>105</v>
      </c>
      <c r="K62" s="36">
        <v>21</v>
      </c>
      <c r="L62" s="37">
        <f t="shared" si="0"/>
        <v>100</v>
      </c>
      <c r="M62" s="36">
        <v>9</v>
      </c>
      <c r="N62" s="38">
        <f t="shared" si="1"/>
        <v>42.857142857142854</v>
      </c>
      <c r="O62" s="36">
        <v>9</v>
      </c>
      <c r="P62" s="38">
        <f t="shared" si="2"/>
        <v>100</v>
      </c>
      <c r="Q62" s="39" t="s">
        <v>52</v>
      </c>
      <c r="R62" s="39" t="str">
        <f t="shared" si="3"/>
        <v>C</v>
      </c>
      <c r="S62" s="34" t="s">
        <v>60</v>
      </c>
      <c r="T62" s="34" t="str">
        <f>IF('PL1(Full)'!$N62&gt;=20,"x",IF(AND('PL1(Full)'!$N62&gt;=15,'PL1(Full)'!$P62&gt;60),"x",""))</f>
        <v>x</v>
      </c>
      <c r="U62" s="34" t="str">
        <f>IF(AND('PL1(Full)'!$H62="Thôn",'PL1(Full)'!$I62&lt;75),"x",IF(AND('PL1(Full)'!$H62="Tổ",'PL1(Full)'!$I62&lt;100),"x","-"))</f>
        <v>x</v>
      </c>
      <c r="V62" s="34" t="str">
        <f>IF(AND('PL1(Full)'!$H62="Thôn",'PL1(Full)'!$I62&lt;140),"x",IF(AND('PL1(Full)'!$H62="Tổ",'PL1(Full)'!$I62&lt;210),"x","-"))</f>
        <v>x</v>
      </c>
      <c r="W62" s="40" t="str">
        <f t="shared" si="14"/>
        <v>Loại 3</v>
      </c>
      <c r="X62" s="34"/>
    </row>
    <row r="63" spans="1:24" ht="15.75" customHeight="1">
      <c r="A63" s="30">
        <f>_xlfn.AGGREGATE(4,7,A$6:A62)+1</f>
        <v>32</v>
      </c>
      <c r="B63" s="31" t="str">
        <f t="shared" si="13"/>
        <v>H. Ba Bể</v>
      </c>
      <c r="C63" s="31" t="str">
        <f t="shared" si="19"/>
        <v>X. Đồng Phúc</v>
      </c>
      <c r="D63" s="32"/>
      <c r="E63" s="32" t="s">
        <v>58</v>
      </c>
      <c r="F63" s="33" t="s">
        <v>115</v>
      </c>
      <c r="G63" s="32"/>
      <c r="H63" s="32" t="str">
        <f>IF(LEFT('PL1(Full)'!$F63,4)="Thôn","Thôn","Tổ")</f>
        <v>Thôn</v>
      </c>
      <c r="I63" s="36">
        <v>47</v>
      </c>
      <c r="J63" s="36">
        <v>205</v>
      </c>
      <c r="K63" s="36">
        <v>47</v>
      </c>
      <c r="L63" s="37">
        <f t="shared" si="0"/>
        <v>100</v>
      </c>
      <c r="M63" s="36">
        <v>19</v>
      </c>
      <c r="N63" s="38">
        <f t="shared" si="1"/>
        <v>40.425531914893618</v>
      </c>
      <c r="O63" s="36">
        <v>19</v>
      </c>
      <c r="P63" s="38">
        <f t="shared" si="2"/>
        <v>100</v>
      </c>
      <c r="Q63" s="39" t="s">
        <v>56</v>
      </c>
      <c r="R63" s="39" t="str">
        <f t="shared" si="3"/>
        <v>X</v>
      </c>
      <c r="S63" s="34" t="s">
        <v>60</v>
      </c>
      <c r="T63" s="34" t="str">
        <f>IF('PL1(Full)'!$N63&gt;=20,"x",IF(AND('PL1(Full)'!$N63&gt;=15,'PL1(Full)'!$P63&gt;60),"x",""))</f>
        <v>x</v>
      </c>
      <c r="U63" s="34" t="str">
        <f>IF(AND('PL1(Full)'!$H63="Thôn",'PL1(Full)'!$I63&lt;75),"x",IF(AND('PL1(Full)'!$H63="Tổ",'PL1(Full)'!$I63&lt;100),"x","-"))</f>
        <v>x</v>
      </c>
      <c r="V63" s="34" t="str">
        <f>IF(AND('PL1(Full)'!$H63="Thôn",'PL1(Full)'!$I63&lt;140),"x",IF(AND('PL1(Full)'!$H63="Tổ",'PL1(Full)'!$I63&lt;210),"x","-"))</f>
        <v>x</v>
      </c>
      <c r="W63" s="40" t="str">
        <f t="shared" si="14"/>
        <v>Loại 3</v>
      </c>
      <c r="X63" s="34"/>
    </row>
    <row r="64" spans="1:24" ht="15.75" customHeight="1">
      <c r="A64" s="30">
        <f>_xlfn.AGGREGATE(4,7,A$6:A63)+1</f>
        <v>33</v>
      </c>
      <c r="B64" s="31" t="str">
        <f t="shared" si="13"/>
        <v>H. Ba Bể</v>
      </c>
      <c r="C64" s="31" t="str">
        <f t="shared" si="19"/>
        <v>X. Đồng Phúc</v>
      </c>
      <c r="D64" s="32"/>
      <c r="E64" s="32" t="s">
        <v>58</v>
      </c>
      <c r="F64" s="33" t="s">
        <v>116</v>
      </c>
      <c r="G64" s="32"/>
      <c r="H64" s="32" t="str">
        <f>IF(LEFT('PL1(Full)'!$F64,4)="Thôn","Thôn","Tổ")</f>
        <v>Thôn</v>
      </c>
      <c r="I64" s="36">
        <v>40</v>
      </c>
      <c r="J64" s="36">
        <v>171</v>
      </c>
      <c r="K64" s="36">
        <v>40</v>
      </c>
      <c r="L64" s="37">
        <f t="shared" si="0"/>
        <v>100</v>
      </c>
      <c r="M64" s="36">
        <v>15</v>
      </c>
      <c r="N64" s="38">
        <f t="shared" si="1"/>
        <v>37.5</v>
      </c>
      <c r="O64" s="36">
        <v>15</v>
      </c>
      <c r="P64" s="38">
        <f t="shared" si="2"/>
        <v>100</v>
      </c>
      <c r="Q64" s="39" t="s">
        <v>117</v>
      </c>
      <c r="R64" s="39" t="str">
        <f t="shared" si="3"/>
        <v>T</v>
      </c>
      <c r="S64" s="34" t="s">
        <v>60</v>
      </c>
      <c r="T64" s="34" t="str">
        <f>IF('PL1(Full)'!$N64&gt;=20,"x",IF(AND('PL1(Full)'!$N64&gt;=15,'PL1(Full)'!$P64&gt;60),"x",""))</f>
        <v>x</v>
      </c>
      <c r="U64" s="34" t="str">
        <f>IF(AND('PL1(Full)'!$H64="Thôn",'PL1(Full)'!$I64&lt;75),"x",IF(AND('PL1(Full)'!$H64="Tổ",'PL1(Full)'!$I64&lt;100),"x","-"))</f>
        <v>x</v>
      </c>
      <c r="V64" s="34" t="str">
        <f>IF(AND('PL1(Full)'!$H64="Thôn",'PL1(Full)'!$I64&lt;140),"x",IF(AND('PL1(Full)'!$H64="Tổ",'PL1(Full)'!$I64&lt;210),"x","-"))</f>
        <v>x</v>
      </c>
      <c r="W64" s="40" t="str">
        <f t="shared" si="14"/>
        <v>Loại 3</v>
      </c>
      <c r="X64" s="34"/>
    </row>
    <row r="65" spans="1:24" ht="15.75" customHeight="1">
      <c r="A65" s="30">
        <f>_xlfn.AGGREGATE(4,7,A$6:A64)+1</f>
        <v>34</v>
      </c>
      <c r="B65" s="31" t="str">
        <f t="shared" si="13"/>
        <v>H. Ba Bể</v>
      </c>
      <c r="C65" s="31" t="str">
        <f t="shared" si="19"/>
        <v>X. Đồng Phúc</v>
      </c>
      <c r="D65" s="32"/>
      <c r="E65" s="32" t="s">
        <v>58</v>
      </c>
      <c r="F65" s="33" t="s">
        <v>118</v>
      </c>
      <c r="G65" s="32"/>
      <c r="H65" s="32" t="str">
        <f>IF(LEFT('PL1(Full)'!$F65,4)="Thôn","Thôn","Tổ")</f>
        <v>Thôn</v>
      </c>
      <c r="I65" s="36">
        <v>45</v>
      </c>
      <c r="J65" s="36">
        <v>160</v>
      </c>
      <c r="K65" s="36">
        <v>45</v>
      </c>
      <c r="L65" s="37">
        <f t="shared" si="0"/>
        <v>100</v>
      </c>
      <c r="M65" s="36">
        <v>15</v>
      </c>
      <c r="N65" s="38">
        <f t="shared" si="1"/>
        <v>33.333333333333336</v>
      </c>
      <c r="O65" s="36">
        <v>15</v>
      </c>
      <c r="P65" s="38">
        <f t="shared" si="2"/>
        <v>100</v>
      </c>
      <c r="Q65" s="39" t="s">
        <v>52</v>
      </c>
      <c r="R65" s="39" t="str">
        <f t="shared" si="3"/>
        <v>C</v>
      </c>
      <c r="S65" s="34" t="s">
        <v>60</v>
      </c>
      <c r="T65" s="34" t="str">
        <f>IF('PL1(Full)'!$N65&gt;=20,"x",IF(AND('PL1(Full)'!$N65&gt;=15,'PL1(Full)'!$P65&gt;60),"x",""))</f>
        <v>x</v>
      </c>
      <c r="U65" s="34" t="str">
        <f>IF(AND('PL1(Full)'!$H65="Thôn",'PL1(Full)'!$I65&lt;75),"x",IF(AND('PL1(Full)'!$H65="Tổ",'PL1(Full)'!$I65&lt;100),"x","-"))</f>
        <v>x</v>
      </c>
      <c r="V65" s="34" t="str">
        <f>IF(AND('PL1(Full)'!$H65="Thôn",'PL1(Full)'!$I65&lt;140),"x",IF(AND('PL1(Full)'!$H65="Tổ",'PL1(Full)'!$I65&lt;210),"x","-"))</f>
        <v>x</v>
      </c>
      <c r="W65" s="40" t="str">
        <f t="shared" si="14"/>
        <v>Loại 3</v>
      </c>
      <c r="X65" s="34"/>
    </row>
    <row r="66" spans="1:24" ht="15.75" customHeight="1">
      <c r="A66" s="30">
        <f>_xlfn.AGGREGATE(4,7,A$6:A65)+1</f>
        <v>35</v>
      </c>
      <c r="B66" s="31" t="str">
        <f t="shared" si="13"/>
        <v>H. Ba Bể</v>
      </c>
      <c r="C66" s="31" t="str">
        <f t="shared" si="19"/>
        <v>X. Đồng Phúc</v>
      </c>
      <c r="D66" s="32"/>
      <c r="E66" s="32" t="s">
        <v>58</v>
      </c>
      <c r="F66" s="33" t="s">
        <v>119</v>
      </c>
      <c r="G66" s="32"/>
      <c r="H66" s="32" t="str">
        <f>IF(LEFT('PL1(Full)'!$F66,4)="Thôn","Thôn","Tổ")</f>
        <v>Thôn</v>
      </c>
      <c r="I66" s="36">
        <v>61</v>
      </c>
      <c r="J66" s="36">
        <v>246</v>
      </c>
      <c r="K66" s="36">
        <v>61</v>
      </c>
      <c r="L66" s="37">
        <f t="shared" si="0"/>
        <v>100</v>
      </c>
      <c r="M66" s="36">
        <v>21</v>
      </c>
      <c r="N66" s="38">
        <f t="shared" si="1"/>
        <v>34.42622950819672</v>
      </c>
      <c r="O66" s="36">
        <v>21</v>
      </c>
      <c r="P66" s="38">
        <f t="shared" si="2"/>
        <v>100</v>
      </c>
      <c r="Q66" s="39" t="s">
        <v>56</v>
      </c>
      <c r="R66" s="39" t="str">
        <f t="shared" si="3"/>
        <v>X</v>
      </c>
      <c r="S66" s="34" t="s">
        <v>60</v>
      </c>
      <c r="T66" s="34" t="str">
        <f>IF('PL1(Full)'!$N66&gt;=20,"x",IF(AND('PL1(Full)'!$N66&gt;=15,'PL1(Full)'!$P66&gt;60),"x",""))</f>
        <v>x</v>
      </c>
      <c r="U66" s="34" t="str">
        <f>IF(AND('PL1(Full)'!$H66="Thôn",'PL1(Full)'!$I66&lt;75),"x",IF(AND('PL1(Full)'!$H66="Tổ",'PL1(Full)'!$I66&lt;100),"x","-"))</f>
        <v>x</v>
      </c>
      <c r="V66" s="34" t="str">
        <f>IF(AND('PL1(Full)'!$H66="Thôn",'PL1(Full)'!$I66&lt;140),"x",IF(AND('PL1(Full)'!$H66="Tổ",'PL1(Full)'!$I66&lt;210),"x","-"))</f>
        <v>x</v>
      </c>
      <c r="W66" s="40" t="str">
        <f t="shared" si="14"/>
        <v>Loại 3</v>
      </c>
      <c r="X66" s="34"/>
    </row>
    <row r="67" spans="1:24" ht="15.75" hidden="1" customHeight="1">
      <c r="A67" s="30">
        <f>_xlfn.AGGREGATE(4,7,A$6:A66)+1</f>
        <v>36</v>
      </c>
      <c r="B67" s="31" t="str">
        <f t="shared" si="13"/>
        <v>H. Ba Bể</v>
      </c>
      <c r="C67" s="31" t="str">
        <f t="shared" si="19"/>
        <v>X. Đồng Phúc</v>
      </c>
      <c r="D67" s="32"/>
      <c r="E67" s="32" t="s">
        <v>58</v>
      </c>
      <c r="F67" s="33" t="s">
        <v>120</v>
      </c>
      <c r="G67" s="34" t="s">
        <v>40</v>
      </c>
      <c r="H67" s="32" t="str">
        <f>IF(LEFT('PL1(Full)'!$F67,4)="Thôn","Thôn","Tổ")</f>
        <v>Thôn</v>
      </c>
      <c r="I67" s="36">
        <v>99</v>
      </c>
      <c r="J67" s="36">
        <v>407</v>
      </c>
      <c r="K67" s="36">
        <v>99</v>
      </c>
      <c r="L67" s="37">
        <f t="shared" si="0"/>
        <v>100</v>
      </c>
      <c r="M67" s="36">
        <v>41</v>
      </c>
      <c r="N67" s="38">
        <f t="shared" si="1"/>
        <v>41.414141414141412</v>
      </c>
      <c r="O67" s="36">
        <v>41</v>
      </c>
      <c r="P67" s="38">
        <f t="shared" si="2"/>
        <v>100</v>
      </c>
      <c r="Q67" s="39" t="s">
        <v>47</v>
      </c>
      <c r="R67" s="39" t="str">
        <f t="shared" si="3"/>
        <v>X</v>
      </c>
      <c r="S67" s="34" t="s">
        <v>60</v>
      </c>
      <c r="T67" s="34" t="str">
        <f>IF('PL1(Full)'!$N67&gt;=20,"x",IF(AND('PL1(Full)'!$N67&gt;=15,'PL1(Full)'!$P67&gt;60),"x",""))</f>
        <v>x</v>
      </c>
      <c r="U67" s="34" t="str">
        <f>IF(AND('PL1(Full)'!$H67="Thôn",'PL1(Full)'!$I67&lt;75),"x",IF(AND('PL1(Full)'!$H67="Tổ",'PL1(Full)'!$I67&lt;100),"x","-"))</f>
        <v>-</v>
      </c>
      <c r="V67" s="34" t="str">
        <f>IF(AND('PL1(Full)'!$H67="Thôn",'PL1(Full)'!$I67&lt;140),"x",IF(AND('PL1(Full)'!$H67="Tổ",'PL1(Full)'!$I67&lt;210),"x","-"))</f>
        <v>x</v>
      </c>
      <c r="W67" s="40" t="str">
        <f t="shared" si="14"/>
        <v>Loại 3</v>
      </c>
      <c r="X67" s="34"/>
    </row>
    <row r="68" spans="1:24" ht="15.75" customHeight="1">
      <c r="A68" s="30">
        <f>_xlfn.AGGREGATE(4,7,A$6:A67)+1</f>
        <v>36</v>
      </c>
      <c r="B68" s="31" t="str">
        <f t="shared" si="13"/>
        <v>H. Ba Bể</v>
      </c>
      <c r="C68" s="31" t="str">
        <f t="shared" si="19"/>
        <v>X. Đồng Phúc</v>
      </c>
      <c r="D68" s="32"/>
      <c r="E68" s="32" t="s">
        <v>58</v>
      </c>
      <c r="F68" s="33" t="s">
        <v>121</v>
      </c>
      <c r="G68" s="32"/>
      <c r="H68" s="32" t="str">
        <f>IF(LEFT('PL1(Full)'!$F68,4)="Thôn","Thôn","Tổ")</f>
        <v>Thôn</v>
      </c>
      <c r="I68" s="36">
        <v>50</v>
      </c>
      <c r="J68" s="36">
        <v>240</v>
      </c>
      <c r="K68" s="36">
        <v>45</v>
      </c>
      <c r="L68" s="37">
        <f t="shared" si="0"/>
        <v>90</v>
      </c>
      <c r="M68" s="36">
        <v>12</v>
      </c>
      <c r="N68" s="38">
        <f t="shared" si="1"/>
        <v>24</v>
      </c>
      <c r="O68" s="36">
        <v>8</v>
      </c>
      <c r="P68" s="38">
        <f t="shared" si="2"/>
        <v>66.666666666666671</v>
      </c>
      <c r="Q68" s="39" t="s">
        <v>56</v>
      </c>
      <c r="R68" s="39" t="str">
        <f t="shared" si="3"/>
        <v>X</v>
      </c>
      <c r="S68" s="34" t="s">
        <v>60</v>
      </c>
      <c r="T68" s="34" t="str">
        <f>IF('PL1(Full)'!$N68&gt;=20,"x",IF(AND('PL1(Full)'!$N68&gt;=15,'PL1(Full)'!$P68&gt;60),"x",""))</f>
        <v>x</v>
      </c>
      <c r="U68" s="34" t="str">
        <f>IF(AND('PL1(Full)'!$H68="Thôn",'PL1(Full)'!$I68&lt;75),"x",IF(AND('PL1(Full)'!$H68="Tổ",'PL1(Full)'!$I68&lt;100),"x","-"))</f>
        <v>x</v>
      </c>
      <c r="V68" s="34" t="str">
        <f>IF(AND('PL1(Full)'!$H68="Thôn",'PL1(Full)'!$I68&lt;140),"x",IF(AND('PL1(Full)'!$H68="Tổ",'PL1(Full)'!$I68&lt;210),"x","-"))</f>
        <v>x</v>
      </c>
      <c r="W68" s="40" t="str">
        <f t="shared" si="14"/>
        <v>Loại 3</v>
      </c>
      <c r="X68" s="34"/>
    </row>
    <row r="69" spans="1:24" ht="15.75" customHeight="1">
      <c r="A69" s="30">
        <f>_xlfn.AGGREGATE(4,7,A$6:A68)+1</f>
        <v>37</v>
      </c>
      <c r="B69" s="31" t="str">
        <f t="shared" si="13"/>
        <v>H. Ba Bể</v>
      </c>
      <c r="C69" s="31" t="str">
        <f t="shared" si="19"/>
        <v>X. Đồng Phúc</v>
      </c>
      <c r="D69" s="34"/>
      <c r="E69" s="34" t="s">
        <v>58</v>
      </c>
      <c r="F69" s="31" t="s">
        <v>122</v>
      </c>
      <c r="G69" s="34"/>
      <c r="H69" s="34" t="str">
        <f>IF(LEFT('PL1(Full)'!$F69,4)="Thôn","Thôn","Tổ")</f>
        <v>Thôn</v>
      </c>
      <c r="I69" s="36">
        <v>25</v>
      </c>
      <c r="J69" s="36">
        <v>101</v>
      </c>
      <c r="K69" s="36">
        <v>25</v>
      </c>
      <c r="L69" s="37">
        <f t="shared" si="0"/>
        <v>100</v>
      </c>
      <c r="M69" s="36">
        <v>18</v>
      </c>
      <c r="N69" s="38">
        <f t="shared" si="1"/>
        <v>72</v>
      </c>
      <c r="O69" s="36">
        <v>18</v>
      </c>
      <c r="P69" s="38">
        <f t="shared" si="2"/>
        <v>100</v>
      </c>
      <c r="Q69" s="39" t="s">
        <v>52</v>
      </c>
      <c r="R69" s="39" t="str">
        <f t="shared" si="3"/>
        <v>C</v>
      </c>
      <c r="S69" s="34" t="s">
        <v>60</v>
      </c>
      <c r="T69" s="34" t="str">
        <f>IF('PL1(Full)'!$N69&gt;=20,"x",IF(AND('PL1(Full)'!$N69&gt;=15,'PL1(Full)'!$P69&gt;60),"x",""))</f>
        <v>x</v>
      </c>
      <c r="U69" s="34" t="str">
        <f>IF(AND('PL1(Full)'!$H69="Thôn",'PL1(Full)'!$I69&lt;75),"x",IF(AND('PL1(Full)'!$H69="Tổ",'PL1(Full)'!$I69&lt;100),"x","-"))</f>
        <v>x</v>
      </c>
      <c r="V69" s="34" t="str">
        <f>IF(AND('PL1(Full)'!$H69="Thôn",'PL1(Full)'!$I69&lt;140),"x",IF(AND('PL1(Full)'!$H69="Tổ",'PL1(Full)'!$I69&lt;210),"x","-"))</f>
        <v>x</v>
      </c>
      <c r="W69" s="40" t="str">
        <f t="shared" si="14"/>
        <v>Loại 3</v>
      </c>
      <c r="X69" s="34"/>
    </row>
    <row r="70" spans="1:24" ht="15.75" customHeight="1">
      <c r="A70" s="30">
        <f>_xlfn.AGGREGATE(4,7,A$6:A69)+1</f>
        <v>38</v>
      </c>
      <c r="B70" s="31" t="str">
        <f t="shared" si="13"/>
        <v>H. Ba Bể</v>
      </c>
      <c r="C70" s="31" t="str">
        <f t="shared" si="19"/>
        <v>X. Đồng Phúc</v>
      </c>
      <c r="D70" s="32"/>
      <c r="E70" s="32" t="s">
        <v>58</v>
      </c>
      <c r="F70" s="33" t="s">
        <v>123</v>
      </c>
      <c r="G70" s="32"/>
      <c r="H70" s="32" t="str">
        <f>IF(LEFT('PL1(Full)'!$F70,4)="Thôn","Thôn","Tổ")</f>
        <v>Thôn</v>
      </c>
      <c r="I70" s="36">
        <v>50</v>
      </c>
      <c r="J70" s="36">
        <v>194</v>
      </c>
      <c r="K70" s="36">
        <v>50</v>
      </c>
      <c r="L70" s="37">
        <f t="shared" si="0"/>
        <v>100</v>
      </c>
      <c r="M70" s="36">
        <v>11</v>
      </c>
      <c r="N70" s="38">
        <f t="shared" si="1"/>
        <v>22</v>
      </c>
      <c r="O70" s="36">
        <v>11</v>
      </c>
      <c r="P70" s="38">
        <f t="shared" si="2"/>
        <v>100</v>
      </c>
      <c r="Q70" s="39" t="s">
        <v>56</v>
      </c>
      <c r="R70" s="39" t="str">
        <f t="shared" si="3"/>
        <v>X</v>
      </c>
      <c r="S70" s="34" t="s">
        <v>60</v>
      </c>
      <c r="T70" s="34" t="str">
        <f>IF('PL1(Full)'!$N70&gt;=20,"x",IF(AND('PL1(Full)'!$N70&gt;=15,'PL1(Full)'!$P70&gt;60),"x",""))</f>
        <v>x</v>
      </c>
      <c r="U70" s="34" t="str">
        <f>IF(AND('PL1(Full)'!$H70="Thôn",'PL1(Full)'!$I70&lt;75),"x",IF(AND('PL1(Full)'!$H70="Tổ",'PL1(Full)'!$I70&lt;100),"x","-"))</f>
        <v>x</v>
      </c>
      <c r="V70" s="34" t="str">
        <f>IF(AND('PL1(Full)'!$H70="Thôn",'PL1(Full)'!$I70&lt;140),"x",IF(AND('PL1(Full)'!$H70="Tổ",'PL1(Full)'!$I70&lt;210),"x","-"))</f>
        <v>x</v>
      </c>
      <c r="W70" s="40" t="str">
        <f t="shared" si="14"/>
        <v>Loại 3</v>
      </c>
      <c r="X70" s="34"/>
    </row>
    <row r="71" spans="1:24" ht="15.75" customHeight="1">
      <c r="A71" s="30">
        <f>_xlfn.AGGREGATE(4,7,A$6:A70)+1</f>
        <v>39</v>
      </c>
      <c r="B71" s="31" t="str">
        <f t="shared" si="13"/>
        <v>H. Ba Bể</v>
      </c>
      <c r="C71" s="31" t="str">
        <f t="shared" si="19"/>
        <v>X. Đồng Phúc</v>
      </c>
      <c r="D71" s="32"/>
      <c r="E71" s="32" t="s">
        <v>58</v>
      </c>
      <c r="F71" s="33" t="s">
        <v>124</v>
      </c>
      <c r="G71" s="32"/>
      <c r="H71" s="32" t="str">
        <f>IF(LEFT('PL1(Full)'!$F71,4)="Thôn","Thôn","Tổ")</f>
        <v>Thôn</v>
      </c>
      <c r="I71" s="36">
        <v>45</v>
      </c>
      <c r="J71" s="36">
        <v>196</v>
      </c>
      <c r="K71" s="36">
        <v>45</v>
      </c>
      <c r="L71" s="37">
        <f t="shared" si="0"/>
        <v>100</v>
      </c>
      <c r="M71" s="36">
        <v>26</v>
      </c>
      <c r="N71" s="38">
        <f t="shared" si="1"/>
        <v>57.777777777777779</v>
      </c>
      <c r="O71" s="36">
        <v>26</v>
      </c>
      <c r="P71" s="38">
        <f t="shared" si="2"/>
        <v>100</v>
      </c>
      <c r="Q71" s="39" t="s">
        <v>52</v>
      </c>
      <c r="R71" s="39" t="str">
        <f t="shared" si="3"/>
        <v>C</v>
      </c>
      <c r="S71" s="34" t="s">
        <v>60</v>
      </c>
      <c r="T71" s="34" t="str">
        <f>IF('PL1(Full)'!$N71&gt;=20,"x",IF(AND('PL1(Full)'!$N71&gt;=15,'PL1(Full)'!$P71&gt;60),"x",""))</f>
        <v>x</v>
      </c>
      <c r="U71" s="34" t="str">
        <f>IF(AND('PL1(Full)'!$H71="Thôn",'PL1(Full)'!$I71&lt;75),"x",IF(AND('PL1(Full)'!$H71="Tổ",'PL1(Full)'!$I71&lt;100),"x","-"))</f>
        <v>x</v>
      </c>
      <c r="V71" s="34" t="str">
        <f>IF(AND('PL1(Full)'!$H71="Thôn",'PL1(Full)'!$I71&lt;140),"x",IF(AND('PL1(Full)'!$H71="Tổ",'PL1(Full)'!$I71&lt;210),"x","-"))</f>
        <v>x</v>
      </c>
      <c r="W71" s="40" t="str">
        <f t="shared" si="14"/>
        <v>Loại 3</v>
      </c>
      <c r="X71" s="34"/>
    </row>
    <row r="72" spans="1:24" ht="15.75" customHeight="1">
      <c r="A72" s="41">
        <f>_xlfn.AGGREGATE(4,7,A$6:A71)+1</f>
        <v>40</v>
      </c>
      <c r="B72" s="42" t="str">
        <f t="shared" si="13"/>
        <v>H. Ba Bể</v>
      </c>
      <c r="C72" s="42" t="str">
        <f t="shared" si="19"/>
        <v>X. Đồng Phúc</v>
      </c>
      <c r="D72" s="43"/>
      <c r="E72" s="43" t="s">
        <v>58</v>
      </c>
      <c r="F72" s="44" t="s">
        <v>125</v>
      </c>
      <c r="G72" s="43"/>
      <c r="H72" s="43" t="str">
        <f>IF(LEFT('PL1(Full)'!$F72,4)="Thôn","Thôn","Tổ")</f>
        <v>Thôn</v>
      </c>
      <c r="I72" s="46">
        <v>62</v>
      </c>
      <c r="J72" s="46">
        <v>206</v>
      </c>
      <c r="K72" s="46">
        <v>61</v>
      </c>
      <c r="L72" s="47">
        <f t="shared" si="0"/>
        <v>98.387096774193552</v>
      </c>
      <c r="M72" s="46">
        <v>12</v>
      </c>
      <c r="N72" s="48">
        <f t="shared" si="1"/>
        <v>19.35483870967742</v>
      </c>
      <c r="O72" s="46">
        <v>12</v>
      </c>
      <c r="P72" s="48">
        <f t="shared" si="2"/>
        <v>100</v>
      </c>
      <c r="Q72" s="39" t="s">
        <v>56</v>
      </c>
      <c r="R72" s="56" t="str">
        <f t="shared" si="3"/>
        <v>X</v>
      </c>
      <c r="S72" s="50" t="s">
        <v>60</v>
      </c>
      <c r="T72" s="50" t="str">
        <f>IF('PL1(Full)'!$N72&gt;=20,"x",IF(AND('PL1(Full)'!$N72&gt;=15,'PL1(Full)'!$P72&gt;60),"x",""))</f>
        <v>x</v>
      </c>
      <c r="U72" s="50" t="str">
        <f>IF(AND('PL1(Full)'!$H72="Thôn",'PL1(Full)'!$I72&lt;75),"x",IF(AND('PL1(Full)'!$H72="Tổ",'PL1(Full)'!$I72&lt;100),"x","-"))</f>
        <v>x</v>
      </c>
      <c r="V72" s="34" t="str">
        <f>IF(AND('PL1(Full)'!$H72="Thôn",'PL1(Full)'!$I72&lt;140),"x",IF(AND('PL1(Full)'!$H72="Tổ",'PL1(Full)'!$I72&lt;210),"x","-"))</f>
        <v>x</v>
      </c>
      <c r="W72" s="51" t="str">
        <f t="shared" si="14"/>
        <v>Loại 3</v>
      </c>
      <c r="X72" s="50"/>
    </row>
    <row r="73" spans="1:24" ht="15.75" customHeight="1">
      <c r="A73" s="52">
        <f>_xlfn.AGGREGATE(4,7,A$6:A72)+1</f>
        <v>41</v>
      </c>
      <c r="B73" s="14" t="str">
        <f t="shared" si="13"/>
        <v>H. Ba Bể</v>
      </c>
      <c r="C73" s="14" t="s">
        <v>126</v>
      </c>
      <c r="D73" s="25" t="s">
        <v>36</v>
      </c>
      <c r="E73" s="25" t="s">
        <v>36</v>
      </c>
      <c r="F73" s="14" t="s">
        <v>127</v>
      </c>
      <c r="G73" s="25"/>
      <c r="H73" s="25" t="str">
        <f>IF(LEFT('PL1(Full)'!$F73,4)="Thôn","Thôn","Tổ")</f>
        <v>Thôn</v>
      </c>
      <c r="I73" s="20">
        <v>61</v>
      </c>
      <c r="J73" s="20">
        <v>258</v>
      </c>
      <c r="K73" s="20">
        <v>59</v>
      </c>
      <c r="L73" s="21">
        <f t="shared" si="0"/>
        <v>96.721311475409834</v>
      </c>
      <c r="M73" s="20">
        <v>5</v>
      </c>
      <c r="N73" s="22">
        <f t="shared" si="1"/>
        <v>8.1967213114754092</v>
      </c>
      <c r="O73" s="20">
        <v>4</v>
      </c>
      <c r="P73" s="22">
        <f t="shared" si="2"/>
        <v>80</v>
      </c>
      <c r="Q73" s="23" t="s">
        <v>63</v>
      </c>
      <c r="R73" s="24" t="str">
        <f t="shared" si="3"/>
        <v>X</v>
      </c>
      <c r="S73" s="25"/>
      <c r="T73" s="26" t="str">
        <f>IF('PL1(Full)'!$N73&gt;=20,"x",IF(AND('PL1(Full)'!$N73&gt;=15,'PL1(Full)'!$P73&gt;60),"x",""))</f>
        <v/>
      </c>
      <c r="U73" s="27" t="str">
        <f>IF(AND('PL1(Full)'!$H73="Thôn",'PL1(Full)'!$I73&lt;75),"x",IF(AND('PL1(Full)'!$H73="Tổ",'PL1(Full)'!$I73&lt;100),"x","-"))</f>
        <v>x</v>
      </c>
      <c r="V73" s="28" t="str">
        <f>IF(AND('PL1(Full)'!$H73="Thôn",'PL1(Full)'!$I73&lt;140),"x",IF(AND('PL1(Full)'!$H73="Tổ",'PL1(Full)'!$I73&lt;210),"x","-"))</f>
        <v>x</v>
      </c>
      <c r="W73" s="29" t="str">
        <f t="shared" si="14"/>
        <v>Loại 3</v>
      </c>
      <c r="X73" s="25"/>
    </row>
    <row r="74" spans="1:24" ht="15.75" customHeight="1">
      <c r="A74" s="30">
        <f>_xlfn.AGGREGATE(4,7,A$6:A73)+1</f>
        <v>42</v>
      </c>
      <c r="B74" s="31" t="str">
        <f t="shared" si="13"/>
        <v>H. Ba Bể</v>
      </c>
      <c r="C74" s="31" t="str">
        <f t="shared" ref="C74:C84" si="20">C73</f>
        <v>X. Hà Hiệu</v>
      </c>
      <c r="D74" s="34"/>
      <c r="E74" s="34" t="s">
        <v>36</v>
      </c>
      <c r="F74" s="31" t="s">
        <v>128</v>
      </c>
      <c r="G74" s="34"/>
      <c r="H74" s="34" t="str">
        <f>IF(LEFT('PL1(Full)'!$F74,4)="Thôn","Thôn","Tổ")</f>
        <v>Thôn</v>
      </c>
      <c r="I74" s="36">
        <v>39</v>
      </c>
      <c r="J74" s="36">
        <v>173</v>
      </c>
      <c r="K74" s="36">
        <v>33</v>
      </c>
      <c r="L74" s="37">
        <f t="shared" si="0"/>
        <v>84.615384615384613</v>
      </c>
      <c r="M74" s="36">
        <v>2</v>
      </c>
      <c r="N74" s="38">
        <f t="shared" si="1"/>
        <v>5.1282051282051286</v>
      </c>
      <c r="O74" s="36">
        <v>2</v>
      </c>
      <c r="P74" s="38">
        <f t="shared" si="2"/>
        <v>100</v>
      </c>
      <c r="Q74" s="39" t="s">
        <v>63</v>
      </c>
      <c r="R74" s="39" t="str">
        <f t="shared" si="3"/>
        <v>X</v>
      </c>
      <c r="S74" s="34"/>
      <c r="T74" s="34" t="str">
        <f>IF('PL1(Full)'!$N74&gt;=20,"x",IF(AND('PL1(Full)'!$N74&gt;=15,'PL1(Full)'!$P74&gt;60),"x",""))</f>
        <v/>
      </c>
      <c r="U74" s="34" t="str">
        <f>IF(AND('PL1(Full)'!$H74="Thôn",'PL1(Full)'!$I74&lt;75),"x",IF(AND('PL1(Full)'!$H74="Tổ",'PL1(Full)'!$I74&lt;100),"x","-"))</f>
        <v>x</v>
      </c>
      <c r="V74" s="34" t="str">
        <f>IF(AND('PL1(Full)'!$H74="Thôn",'PL1(Full)'!$I74&lt;140),"x",IF(AND('PL1(Full)'!$H74="Tổ",'PL1(Full)'!$I74&lt;210),"x","-"))</f>
        <v>x</v>
      </c>
      <c r="W74" s="40" t="str">
        <f t="shared" si="14"/>
        <v>Loại 3</v>
      </c>
      <c r="X74" s="57"/>
    </row>
    <row r="75" spans="1:24" ht="15.75" customHeight="1">
      <c r="A75" s="30">
        <f>_xlfn.AGGREGATE(4,7,A$6:A74)+1</f>
        <v>43</v>
      </c>
      <c r="B75" s="31" t="str">
        <f t="shared" si="13"/>
        <v>H. Ba Bể</v>
      </c>
      <c r="C75" s="31" t="str">
        <f t="shared" si="20"/>
        <v>X. Hà Hiệu</v>
      </c>
      <c r="D75" s="34"/>
      <c r="E75" s="34" t="s">
        <v>36</v>
      </c>
      <c r="F75" s="31" t="s">
        <v>129</v>
      </c>
      <c r="G75" s="34"/>
      <c r="H75" s="34" t="str">
        <f>IF(LEFT('PL1(Full)'!$F75,4)="Thôn","Thôn","Tổ")</f>
        <v>Thôn</v>
      </c>
      <c r="I75" s="36">
        <v>45</v>
      </c>
      <c r="J75" s="36">
        <v>184</v>
      </c>
      <c r="K75" s="36">
        <v>44</v>
      </c>
      <c r="L75" s="37">
        <f t="shared" si="0"/>
        <v>97.777777777777771</v>
      </c>
      <c r="M75" s="36">
        <v>2</v>
      </c>
      <c r="N75" s="38">
        <f t="shared" si="1"/>
        <v>4.4444444444444446</v>
      </c>
      <c r="O75" s="36">
        <v>2</v>
      </c>
      <c r="P75" s="38">
        <f t="shared" si="2"/>
        <v>100</v>
      </c>
      <c r="Q75" s="39" t="s">
        <v>63</v>
      </c>
      <c r="R75" s="39" t="str">
        <f t="shared" si="3"/>
        <v>X</v>
      </c>
      <c r="S75" s="34"/>
      <c r="T75" s="34" t="str">
        <f>IF('PL1(Full)'!$N75&gt;=20,"x",IF(AND('PL1(Full)'!$N75&gt;=15,'PL1(Full)'!$P75&gt;60),"x",""))</f>
        <v/>
      </c>
      <c r="U75" s="34" t="str">
        <f>IF(AND('PL1(Full)'!$H75="Thôn",'PL1(Full)'!$I75&lt;75),"x",IF(AND('PL1(Full)'!$H75="Tổ",'PL1(Full)'!$I75&lt;100),"x","-"))</f>
        <v>x</v>
      </c>
      <c r="V75" s="34" t="str">
        <f>IF(AND('PL1(Full)'!$H75="Thôn",'PL1(Full)'!$I75&lt;140),"x",IF(AND('PL1(Full)'!$H75="Tổ",'PL1(Full)'!$I75&lt;210),"x","-"))</f>
        <v>x</v>
      </c>
      <c r="W75" s="40" t="str">
        <f t="shared" si="14"/>
        <v>Loại 3</v>
      </c>
      <c r="X75" s="57"/>
    </row>
    <row r="76" spans="1:24" ht="15.75" customHeight="1">
      <c r="A76" s="30">
        <f>_xlfn.AGGREGATE(4,7,A$6:A75)+1</f>
        <v>44</v>
      </c>
      <c r="B76" s="31" t="str">
        <f t="shared" si="13"/>
        <v>H. Ba Bể</v>
      </c>
      <c r="C76" s="31" t="str">
        <f t="shared" si="20"/>
        <v>X. Hà Hiệu</v>
      </c>
      <c r="D76" s="34"/>
      <c r="E76" s="34" t="s">
        <v>36</v>
      </c>
      <c r="F76" s="31" t="s">
        <v>130</v>
      </c>
      <c r="G76" s="34"/>
      <c r="H76" s="34" t="str">
        <f>IF(LEFT('PL1(Full)'!$F76,4)="Thôn","Thôn","Tổ")</f>
        <v>Thôn</v>
      </c>
      <c r="I76" s="36">
        <v>48</v>
      </c>
      <c r="J76" s="36">
        <v>216</v>
      </c>
      <c r="K76" s="36">
        <v>46</v>
      </c>
      <c r="L76" s="37">
        <f t="shared" si="0"/>
        <v>95.833333333333329</v>
      </c>
      <c r="M76" s="36">
        <v>4</v>
      </c>
      <c r="N76" s="38">
        <f t="shared" si="1"/>
        <v>8.3333333333333339</v>
      </c>
      <c r="O76" s="36">
        <v>3</v>
      </c>
      <c r="P76" s="38">
        <f t="shared" si="2"/>
        <v>75</v>
      </c>
      <c r="Q76" s="39" t="s">
        <v>63</v>
      </c>
      <c r="R76" s="39" t="str">
        <f t="shared" si="3"/>
        <v>X</v>
      </c>
      <c r="S76" s="34"/>
      <c r="T76" s="34" t="str">
        <f>IF('PL1(Full)'!$N76&gt;=20,"x",IF(AND('PL1(Full)'!$N76&gt;=15,'PL1(Full)'!$P76&gt;60),"x",""))</f>
        <v/>
      </c>
      <c r="U76" s="34" t="str">
        <f>IF(AND('PL1(Full)'!$H76="Thôn",'PL1(Full)'!$I76&lt;75),"x",IF(AND('PL1(Full)'!$H76="Tổ",'PL1(Full)'!$I76&lt;100),"x","-"))</f>
        <v>x</v>
      </c>
      <c r="V76" s="34" t="str">
        <f>IF(AND('PL1(Full)'!$H76="Thôn",'PL1(Full)'!$I76&lt;140),"x",IF(AND('PL1(Full)'!$H76="Tổ",'PL1(Full)'!$I76&lt;210),"x","-"))</f>
        <v>x</v>
      </c>
      <c r="W76" s="40" t="str">
        <f t="shared" si="14"/>
        <v>Loại 3</v>
      </c>
      <c r="X76" s="57"/>
    </row>
    <row r="77" spans="1:24" ht="15.75" customHeight="1">
      <c r="A77" s="30">
        <f>_xlfn.AGGREGATE(4,7,A$6:A76)+1</f>
        <v>45</v>
      </c>
      <c r="B77" s="31" t="str">
        <f t="shared" si="13"/>
        <v>H. Ba Bể</v>
      </c>
      <c r="C77" s="31" t="str">
        <f t="shared" si="20"/>
        <v>X. Hà Hiệu</v>
      </c>
      <c r="D77" s="34"/>
      <c r="E77" s="34" t="s">
        <v>36</v>
      </c>
      <c r="F77" s="31" t="s">
        <v>131</v>
      </c>
      <c r="G77" s="34"/>
      <c r="H77" s="34" t="str">
        <f>IF(LEFT('PL1(Full)'!$F77,4)="Thôn","Thôn","Tổ")</f>
        <v>Thôn</v>
      </c>
      <c r="I77" s="36">
        <v>50</v>
      </c>
      <c r="J77" s="36">
        <v>270</v>
      </c>
      <c r="K77" s="36">
        <v>50</v>
      </c>
      <c r="L77" s="37">
        <f t="shared" si="0"/>
        <v>100</v>
      </c>
      <c r="M77" s="36">
        <v>26</v>
      </c>
      <c r="N77" s="38">
        <f t="shared" si="1"/>
        <v>52</v>
      </c>
      <c r="O77" s="36">
        <v>26</v>
      </c>
      <c r="P77" s="38">
        <f t="shared" si="2"/>
        <v>100</v>
      </c>
      <c r="Q77" s="39" t="s">
        <v>63</v>
      </c>
      <c r="R77" s="39" t="str">
        <f t="shared" si="3"/>
        <v>X</v>
      </c>
      <c r="S77" s="34" t="s">
        <v>60</v>
      </c>
      <c r="T77" s="34" t="str">
        <f>IF('PL1(Full)'!$N77&gt;=20,"x",IF(AND('PL1(Full)'!$N77&gt;=15,'PL1(Full)'!$P77&gt;60),"x",""))</f>
        <v>x</v>
      </c>
      <c r="U77" s="34" t="str">
        <f>IF(AND('PL1(Full)'!$H77="Thôn",'PL1(Full)'!$I77&lt;75),"x",IF(AND('PL1(Full)'!$H77="Tổ",'PL1(Full)'!$I77&lt;100),"x","-"))</f>
        <v>x</v>
      </c>
      <c r="V77" s="34" t="str">
        <f>IF(AND('PL1(Full)'!$H77="Thôn",'PL1(Full)'!$I77&lt;140),"x",IF(AND('PL1(Full)'!$H77="Tổ",'PL1(Full)'!$I77&lt;210),"x","-"))</f>
        <v>x</v>
      </c>
      <c r="W77" s="40" t="str">
        <f t="shared" si="14"/>
        <v>Loại 3</v>
      </c>
      <c r="X77" s="34"/>
    </row>
    <row r="78" spans="1:24" ht="15.75" customHeight="1">
      <c r="A78" s="30">
        <f>_xlfn.AGGREGATE(4,7,A$6:A77)+1</f>
        <v>46</v>
      </c>
      <c r="B78" s="31" t="str">
        <f t="shared" si="13"/>
        <v>H. Ba Bể</v>
      </c>
      <c r="C78" s="31" t="str">
        <f t="shared" si="20"/>
        <v>X. Hà Hiệu</v>
      </c>
      <c r="D78" s="34"/>
      <c r="E78" s="34" t="s">
        <v>36</v>
      </c>
      <c r="F78" s="31" t="s">
        <v>132</v>
      </c>
      <c r="G78" s="34"/>
      <c r="H78" s="34" t="str">
        <f>IF(LEFT('PL1(Full)'!$F78,4)="Thôn","Thôn","Tổ")</f>
        <v>Thôn</v>
      </c>
      <c r="I78" s="36">
        <v>31</v>
      </c>
      <c r="J78" s="36">
        <v>161</v>
      </c>
      <c r="K78" s="36">
        <v>31</v>
      </c>
      <c r="L78" s="37">
        <f t="shared" si="0"/>
        <v>100</v>
      </c>
      <c r="M78" s="36">
        <v>3</v>
      </c>
      <c r="N78" s="38">
        <f t="shared" si="1"/>
        <v>9.67741935483871</v>
      </c>
      <c r="O78" s="36">
        <v>3</v>
      </c>
      <c r="P78" s="38">
        <f t="shared" si="2"/>
        <v>100</v>
      </c>
      <c r="Q78" s="39" t="s">
        <v>63</v>
      </c>
      <c r="R78" s="39" t="str">
        <f t="shared" si="3"/>
        <v>X</v>
      </c>
      <c r="S78" s="34"/>
      <c r="T78" s="34" t="str">
        <f>IF('PL1(Full)'!$N78&gt;=20,"x",IF(AND('PL1(Full)'!$N78&gt;=15,'PL1(Full)'!$P78&gt;60),"x",""))</f>
        <v/>
      </c>
      <c r="U78" s="34" t="str">
        <f>IF(AND('PL1(Full)'!$H78="Thôn",'PL1(Full)'!$I78&lt;75),"x",IF(AND('PL1(Full)'!$H78="Tổ",'PL1(Full)'!$I78&lt;100),"x","-"))</f>
        <v>x</v>
      </c>
      <c r="V78" s="34" t="str">
        <f>IF(AND('PL1(Full)'!$H78="Thôn",'PL1(Full)'!$I78&lt;140),"x",IF(AND('PL1(Full)'!$H78="Tổ",'PL1(Full)'!$I78&lt;210),"x","-"))</f>
        <v>x</v>
      </c>
      <c r="W78" s="40" t="str">
        <f t="shared" si="14"/>
        <v>Loại 3</v>
      </c>
      <c r="X78" s="57"/>
    </row>
    <row r="79" spans="1:24" ht="15.75" customHeight="1">
      <c r="A79" s="30">
        <f>_xlfn.AGGREGATE(4,7,A$6:A78)+1</f>
        <v>47</v>
      </c>
      <c r="B79" s="31" t="str">
        <f t="shared" si="13"/>
        <v>H. Ba Bể</v>
      </c>
      <c r="C79" s="31" t="str">
        <f t="shared" si="20"/>
        <v>X. Hà Hiệu</v>
      </c>
      <c r="D79" s="34"/>
      <c r="E79" s="34" t="s">
        <v>36</v>
      </c>
      <c r="F79" s="31" t="s">
        <v>133</v>
      </c>
      <c r="G79" s="34"/>
      <c r="H79" s="34" t="str">
        <f>IF(LEFT('PL1(Full)'!$F79,4)="Thôn","Thôn","Tổ")</f>
        <v>Thôn</v>
      </c>
      <c r="I79" s="36">
        <v>60</v>
      </c>
      <c r="J79" s="36">
        <v>304</v>
      </c>
      <c r="K79" s="36">
        <v>61</v>
      </c>
      <c r="L79" s="37">
        <f t="shared" si="0"/>
        <v>101.66666666666667</v>
      </c>
      <c r="M79" s="36">
        <v>15</v>
      </c>
      <c r="N79" s="38">
        <f t="shared" si="1"/>
        <v>25</v>
      </c>
      <c r="O79" s="36">
        <v>15</v>
      </c>
      <c r="P79" s="38">
        <f t="shared" si="2"/>
        <v>100</v>
      </c>
      <c r="Q79" s="39" t="s">
        <v>63</v>
      </c>
      <c r="R79" s="39" t="str">
        <f t="shared" si="3"/>
        <v>X</v>
      </c>
      <c r="S79" s="34" t="s">
        <v>60</v>
      </c>
      <c r="T79" s="34" t="str">
        <f>IF('PL1(Full)'!$N79&gt;=20,"x",IF(AND('PL1(Full)'!$N79&gt;=15,'PL1(Full)'!$P79&gt;60),"x",""))</f>
        <v>x</v>
      </c>
      <c r="U79" s="34" t="str">
        <f>IF(AND('PL1(Full)'!$H79="Thôn",'PL1(Full)'!$I79&lt;75),"x",IF(AND('PL1(Full)'!$H79="Tổ",'PL1(Full)'!$I79&lt;100),"x","-"))</f>
        <v>x</v>
      </c>
      <c r="V79" s="34" t="str">
        <f>IF(AND('PL1(Full)'!$H79="Thôn",'PL1(Full)'!$I79&lt;140),"x",IF(AND('PL1(Full)'!$H79="Tổ",'PL1(Full)'!$I79&lt;210),"x","-"))</f>
        <v>x</v>
      </c>
      <c r="W79" s="40" t="str">
        <f t="shared" si="14"/>
        <v>Loại 3</v>
      </c>
      <c r="X79" s="34"/>
    </row>
    <row r="80" spans="1:24" ht="15.75" customHeight="1">
      <c r="A80" s="30">
        <f>_xlfn.AGGREGATE(4,7,A$6:A79)+1</f>
        <v>48</v>
      </c>
      <c r="B80" s="31" t="str">
        <f t="shared" si="13"/>
        <v>H. Ba Bể</v>
      </c>
      <c r="C80" s="31" t="str">
        <f t="shared" si="20"/>
        <v>X. Hà Hiệu</v>
      </c>
      <c r="D80" s="34"/>
      <c r="E80" s="34" t="s">
        <v>36</v>
      </c>
      <c r="F80" s="31" t="s">
        <v>134</v>
      </c>
      <c r="G80" s="34"/>
      <c r="H80" s="34" t="str">
        <f>IF(LEFT('PL1(Full)'!$F80,4)="Thôn","Thôn","Tổ")</f>
        <v>Thôn</v>
      </c>
      <c r="I80" s="36">
        <v>54</v>
      </c>
      <c r="J80" s="36">
        <v>278</v>
      </c>
      <c r="K80" s="36">
        <v>53</v>
      </c>
      <c r="L80" s="37">
        <f t="shared" si="0"/>
        <v>98.148148148148152</v>
      </c>
      <c r="M80" s="36">
        <v>12</v>
      </c>
      <c r="N80" s="38">
        <f t="shared" si="1"/>
        <v>22.222222222222221</v>
      </c>
      <c r="O80" s="36">
        <v>12</v>
      </c>
      <c r="P80" s="38">
        <f t="shared" si="2"/>
        <v>100</v>
      </c>
      <c r="Q80" s="39" t="s">
        <v>63</v>
      </c>
      <c r="R80" s="39" t="str">
        <f t="shared" si="3"/>
        <v>X</v>
      </c>
      <c r="S80" s="34" t="s">
        <v>60</v>
      </c>
      <c r="T80" s="34" t="str">
        <f>IF('PL1(Full)'!$N80&gt;=20,"x",IF(AND('PL1(Full)'!$N80&gt;=15,'PL1(Full)'!$P80&gt;60),"x",""))</f>
        <v>x</v>
      </c>
      <c r="U80" s="34" t="str">
        <f>IF(AND('PL1(Full)'!$H80="Thôn",'PL1(Full)'!$I80&lt;75),"x",IF(AND('PL1(Full)'!$H80="Tổ",'PL1(Full)'!$I80&lt;100),"x","-"))</f>
        <v>x</v>
      </c>
      <c r="V80" s="34" t="str">
        <f>IF(AND('PL1(Full)'!$H80="Thôn",'PL1(Full)'!$I80&lt;140),"x",IF(AND('PL1(Full)'!$H80="Tổ",'PL1(Full)'!$I80&lt;210),"x","-"))</f>
        <v>x</v>
      </c>
      <c r="W80" s="40" t="str">
        <f t="shared" si="14"/>
        <v>Loại 3</v>
      </c>
      <c r="X80" s="34"/>
    </row>
    <row r="81" spans="1:24" ht="15.75" hidden="1" customHeight="1">
      <c r="A81" s="30">
        <f>_xlfn.AGGREGATE(4,7,A$6:A80)+1</f>
        <v>49</v>
      </c>
      <c r="B81" s="31" t="str">
        <f t="shared" si="13"/>
        <v>H. Ba Bể</v>
      </c>
      <c r="C81" s="31" t="str">
        <f t="shared" si="20"/>
        <v>X. Hà Hiệu</v>
      </c>
      <c r="D81" s="34"/>
      <c r="E81" s="34" t="s">
        <v>36</v>
      </c>
      <c r="F81" s="31" t="s">
        <v>135</v>
      </c>
      <c r="G81" s="34"/>
      <c r="H81" s="34" t="str">
        <f>IF(LEFT('PL1(Full)'!$F81,4)="Thôn","Thôn","Tổ")</f>
        <v>Thôn</v>
      </c>
      <c r="I81" s="36">
        <v>78</v>
      </c>
      <c r="J81" s="36">
        <v>310</v>
      </c>
      <c r="K81" s="36">
        <v>69</v>
      </c>
      <c r="L81" s="37">
        <f t="shared" si="0"/>
        <v>88.461538461538467</v>
      </c>
      <c r="M81" s="36">
        <v>7</v>
      </c>
      <c r="N81" s="38">
        <f t="shared" si="1"/>
        <v>8.9743589743589745</v>
      </c>
      <c r="O81" s="36">
        <v>7</v>
      </c>
      <c r="P81" s="38">
        <f t="shared" si="2"/>
        <v>100</v>
      </c>
      <c r="Q81" s="39" t="s">
        <v>63</v>
      </c>
      <c r="R81" s="39" t="str">
        <f t="shared" si="3"/>
        <v>X</v>
      </c>
      <c r="S81" s="34"/>
      <c r="T81" s="34" t="str">
        <f>IF('PL1(Full)'!$N81&gt;=20,"x",IF(AND('PL1(Full)'!$N81&gt;=15,'PL1(Full)'!$P81&gt;60),"x",""))</f>
        <v/>
      </c>
      <c r="U81" s="34" t="str">
        <f>IF(AND('PL1(Full)'!$H81="Thôn",'PL1(Full)'!$I81&lt;75),"x",IF(AND('PL1(Full)'!$H81="Tổ",'PL1(Full)'!$I81&lt;100),"x","-"))</f>
        <v>-</v>
      </c>
      <c r="V81" s="34" t="str">
        <f>IF(AND('PL1(Full)'!$H81="Thôn",'PL1(Full)'!$I81&lt;140),"x",IF(AND('PL1(Full)'!$H81="Tổ",'PL1(Full)'!$I81&lt;210),"x","-"))</f>
        <v>x</v>
      </c>
      <c r="W81" s="40" t="str">
        <f t="shared" si="14"/>
        <v>Loại 3</v>
      </c>
      <c r="X81" s="57"/>
    </row>
    <row r="82" spans="1:24" ht="15.75" customHeight="1">
      <c r="A82" s="30">
        <f>_xlfn.AGGREGATE(4,7,A$6:A81)+1</f>
        <v>49</v>
      </c>
      <c r="B82" s="31" t="str">
        <f t="shared" si="13"/>
        <v>H. Ba Bể</v>
      </c>
      <c r="C82" s="31" t="str">
        <f t="shared" si="20"/>
        <v>X. Hà Hiệu</v>
      </c>
      <c r="D82" s="34"/>
      <c r="E82" s="34" t="s">
        <v>36</v>
      </c>
      <c r="F82" s="31" t="s">
        <v>136</v>
      </c>
      <c r="G82" s="32" t="s">
        <v>137</v>
      </c>
      <c r="H82" s="34" t="str">
        <f>IF(LEFT('PL1(Full)'!$F82,4)="Thôn","Thôn","Tổ")</f>
        <v>Thôn</v>
      </c>
      <c r="I82" s="36">
        <v>67</v>
      </c>
      <c r="J82" s="36">
        <v>270</v>
      </c>
      <c r="K82" s="36">
        <v>61</v>
      </c>
      <c r="L82" s="37">
        <f t="shared" si="0"/>
        <v>91.044776119402982</v>
      </c>
      <c r="M82" s="36">
        <v>7</v>
      </c>
      <c r="N82" s="38">
        <f t="shared" si="1"/>
        <v>10.447761194029852</v>
      </c>
      <c r="O82" s="36">
        <v>7</v>
      </c>
      <c r="P82" s="38">
        <f t="shared" si="2"/>
        <v>100</v>
      </c>
      <c r="Q82" s="39" t="s">
        <v>63</v>
      </c>
      <c r="R82" s="39" t="str">
        <f t="shared" si="3"/>
        <v>X</v>
      </c>
      <c r="S82" s="34"/>
      <c r="T82" s="34" t="str">
        <f>IF('PL1(Full)'!$N82&gt;=20,"x",IF(AND('PL1(Full)'!$N82&gt;=15,'PL1(Full)'!$P82&gt;60),"x",""))</f>
        <v/>
      </c>
      <c r="U82" s="34" t="str">
        <f>IF(AND('PL1(Full)'!$H82="Thôn",'PL1(Full)'!$I82&lt;75),"x",IF(AND('PL1(Full)'!$H82="Tổ",'PL1(Full)'!$I82&lt;100),"x","-"))</f>
        <v>x</v>
      </c>
      <c r="V82" s="34" t="str">
        <f>IF(AND('PL1(Full)'!$H82="Thôn",'PL1(Full)'!$I82&lt;140),"x",IF(AND('PL1(Full)'!$H82="Tổ",'PL1(Full)'!$I82&lt;210),"x","-"))</f>
        <v>x</v>
      </c>
      <c r="W82" s="40" t="str">
        <f t="shared" si="14"/>
        <v>Loại 3</v>
      </c>
      <c r="X82" s="57"/>
    </row>
    <row r="83" spans="1:24" ht="15.75" customHeight="1">
      <c r="A83" s="30">
        <f>_xlfn.AGGREGATE(4,7,A$6:A82)+1</f>
        <v>50</v>
      </c>
      <c r="B83" s="31" t="str">
        <f t="shared" si="13"/>
        <v>H. Ba Bể</v>
      </c>
      <c r="C83" s="31" t="str">
        <f t="shared" si="20"/>
        <v>X. Hà Hiệu</v>
      </c>
      <c r="D83" s="34"/>
      <c r="E83" s="34" t="s">
        <v>36</v>
      </c>
      <c r="F83" s="31" t="s">
        <v>138</v>
      </c>
      <c r="G83" s="34" t="s">
        <v>40</v>
      </c>
      <c r="H83" s="34" t="str">
        <f>IF(LEFT('PL1(Full)'!$F83,4)="Thôn","Thôn","Tổ")</f>
        <v>Thôn</v>
      </c>
      <c r="I83" s="36">
        <v>60</v>
      </c>
      <c r="J83" s="36">
        <v>269</v>
      </c>
      <c r="K83" s="36">
        <v>60</v>
      </c>
      <c r="L83" s="37">
        <f t="shared" si="0"/>
        <v>100</v>
      </c>
      <c r="M83" s="36">
        <v>4</v>
      </c>
      <c r="N83" s="38">
        <f t="shared" si="1"/>
        <v>6.666666666666667</v>
      </c>
      <c r="O83" s="36">
        <v>4</v>
      </c>
      <c r="P83" s="38">
        <f t="shared" si="2"/>
        <v>100</v>
      </c>
      <c r="Q83" s="39" t="s">
        <v>63</v>
      </c>
      <c r="R83" s="39" t="str">
        <f t="shared" si="3"/>
        <v>X</v>
      </c>
      <c r="S83" s="34"/>
      <c r="T83" s="34" t="str">
        <f>IF('PL1(Full)'!$N83&gt;=20,"x",IF(AND('PL1(Full)'!$N83&gt;=15,'PL1(Full)'!$P83&gt;60),"x",""))</f>
        <v/>
      </c>
      <c r="U83" s="34" t="str">
        <f>IF(AND('PL1(Full)'!$H83="Thôn",'PL1(Full)'!$I83&lt;75),"x",IF(AND('PL1(Full)'!$H83="Tổ",'PL1(Full)'!$I83&lt;100),"x","-"))</f>
        <v>x</v>
      </c>
      <c r="V83" s="34" t="str">
        <f>IF(AND('PL1(Full)'!$H83="Thôn",'PL1(Full)'!$I83&lt;140),"x",IF(AND('PL1(Full)'!$H83="Tổ",'PL1(Full)'!$I83&lt;210),"x","-"))</f>
        <v>x</v>
      </c>
      <c r="W83" s="40" t="str">
        <f t="shared" si="14"/>
        <v>Loại 3</v>
      </c>
      <c r="X83" s="57"/>
    </row>
    <row r="84" spans="1:24" ht="15.75" hidden="1" customHeight="1">
      <c r="A84" s="41">
        <f>_xlfn.AGGREGATE(4,7,A$6:A83)+1</f>
        <v>51</v>
      </c>
      <c r="B84" s="42" t="str">
        <f t="shared" si="13"/>
        <v>H. Ba Bể</v>
      </c>
      <c r="C84" s="42" t="str">
        <f t="shared" si="20"/>
        <v>X. Hà Hiệu</v>
      </c>
      <c r="D84" s="50"/>
      <c r="E84" s="50" t="s">
        <v>36</v>
      </c>
      <c r="F84" s="42" t="s">
        <v>139</v>
      </c>
      <c r="G84" s="50"/>
      <c r="H84" s="50" t="str">
        <f>IF(LEFT('PL1(Full)'!$F84,4)="Thôn","Thôn","Tổ")</f>
        <v>Thôn</v>
      </c>
      <c r="I84" s="46">
        <v>98</v>
      </c>
      <c r="J84" s="46">
        <v>468</v>
      </c>
      <c r="K84" s="46">
        <v>97</v>
      </c>
      <c r="L84" s="47">
        <f t="shared" si="0"/>
        <v>98.979591836734699</v>
      </c>
      <c r="M84" s="46">
        <v>7</v>
      </c>
      <c r="N84" s="48">
        <f t="shared" si="1"/>
        <v>7.1428571428571432</v>
      </c>
      <c r="O84" s="46">
        <v>7</v>
      </c>
      <c r="P84" s="48">
        <f t="shared" si="2"/>
        <v>100</v>
      </c>
      <c r="Q84" s="39" t="s">
        <v>63</v>
      </c>
      <c r="R84" s="56" t="str">
        <f t="shared" si="3"/>
        <v>X</v>
      </c>
      <c r="S84" s="50"/>
      <c r="T84" s="50" t="str">
        <f>IF('PL1(Full)'!$N84&gt;=20,"x",IF(AND('PL1(Full)'!$N84&gt;=15,'PL1(Full)'!$P84&gt;60),"x",""))</f>
        <v/>
      </c>
      <c r="U84" s="50" t="str">
        <f>IF(AND('PL1(Full)'!$H84="Thôn",'PL1(Full)'!$I84&lt;75),"x",IF(AND('PL1(Full)'!$H84="Tổ",'PL1(Full)'!$I84&lt;100),"x","-"))</f>
        <v>-</v>
      </c>
      <c r="V84" s="34" t="str">
        <f>IF(AND('PL1(Full)'!$H84="Thôn",'PL1(Full)'!$I84&lt;140),"x",IF(AND('PL1(Full)'!$H84="Tổ",'PL1(Full)'!$I84&lt;210),"x","-"))</f>
        <v>x</v>
      </c>
      <c r="W84" s="51" t="str">
        <f t="shared" si="14"/>
        <v>Loại 3</v>
      </c>
      <c r="X84" s="58"/>
    </row>
    <row r="85" spans="1:24" ht="15.75" customHeight="1">
      <c r="A85" s="52">
        <f>_xlfn.AGGREGATE(4,7,A$6:A84)+1</f>
        <v>51</v>
      </c>
      <c r="B85" s="14" t="str">
        <f t="shared" si="13"/>
        <v>H. Ba Bể</v>
      </c>
      <c r="C85" s="14" t="s">
        <v>140</v>
      </c>
      <c r="D85" s="25" t="s">
        <v>58</v>
      </c>
      <c r="E85" s="25" t="s">
        <v>58</v>
      </c>
      <c r="F85" s="14" t="s">
        <v>141</v>
      </c>
      <c r="G85" s="25"/>
      <c r="H85" s="25" t="str">
        <f>IF(LEFT('PL1(Full)'!$F85,4)="Thôn","Thôn","Tổ")</f>
        <v>Thôn</v>
      </c>
      <c r="I85" s="20">
        <v>31</v>
      </c>
      <c r="J85" s="20">
        <v>153</v>
      </c>
      <c r="K85" s="20">
        <v>31</v>
      </c>
      <c r="L85" s="21">
        <f t="shared" si="0"/>
        <v>100</v>
      </c>
      <c r="M85" s="20">
        <v>9</v>
      </c>
      <c r="N85" s="22">
        <f t="shared" si="1"/>
        <v>29.032258064516128</v>
      </c>
      <c r="O85" s="20">
        <v>9</v>
      </c>
      <c r="P85" s="22">
        <f t="shared" si="2"/>
        <v>100</v>
      </c>
      <c r="Q85" s="59" t="s">
        <v>63</v>
      </c>
      <c r="R85" s="59" t="str">
        <f t="shared" si="3"/>
        <v>X</v>
      </c>
      <c r="S85" s="60" t="s">
        <v>60</v>
      </c>
      <c r="T85" s="26" t="str">
        <f>IF('PL1(Full)'!$N85&gt;=20,"x",IF(AND('PL1(Full)'!$N85&gt;=15,'PL1(Full)'!$P85&gt;60),"x",""))</f>
        <v>x</v>
      </c>
      <c r="U85" s="27" t="str">
        <f>IF(AND('PL1(Full)'!$H85="Thôn",'PL1(Full)'!$I85&lt;75),"x",IF(AND('PL1(Full)'!$H85="Tổ",'PL1(Full)'!$I85&lt;100),"x","-"))</f>
        <v>x</v>
      </c>
      <c r="V85" s="28" t="str">
        <f>IF(AND('PL1(Full)'!$H85="Thôn",'PL1(Full)'!$I85&lt;140),"x",IF(AND('PL1(Full)'!$H85="Tổ",'PL1(Full)'!$I85&lt;210),"x","-"))</f>
        <v>x</v>
      </c>
      <c r="W85" s="29" t="str">
        <f t="shared" si="14"/>
        <v>Loại 3</v>
      </c>
      <c r="X85" s="25"/>
    </row>
    <row r="86" spans="1:24" ht="15.75" customHeight="1">
      <c r="A86" s="30">
        <f>_xlfn.AGGREGATE(4,7,A$6:A85)+1</f>
        <v>52</v>
      </c>
      <c r="B86" s="31" t="str">
        <f t="shared" si="13"/>
        <v>H. Ba Bể</v>
      </c>
      <c r="C86" s="31" t="str">
        <f t="shared" ref="C86:C90" si="21">C85</f>
        <v>X. Hoàng Trĩ</v>
      </c>
      <c r="D86" s="34"/>
      <c r="E86" s="34" t="s">
        <v>58</v>
      </c>
      <c r="F86" s="31" t="s">
        <v>142</v>
      </c>
      <c r="G86" s="34"/>
      <c r="H86" s="34" t="str">
        <f>IF(LEFT('PL1(Full)'!$F86,4)="Thôn","Thôn","Tổ")</f>
        <v>Thôn</v>
      </c>
      <c r="I86" s="36">
        <v>43</v>
      </c>
      <c r="J86" s="36">
        <v>190</v>
      </c>
      <c r="K86" s="36">
        <v>43</v>
      </c>
      <c r="L86" s="37">
        <f t="shared" si="0"/>
        <v>100</v>
      </c>
      <c r="M86" s="36">
        <v>26</v>
      </c>
      <c r="N86" s="38">
        <f t="shared" si="1"/>
        <v>60.465116279069768</v>
      </c>
      <c r="O86" s="36">
        <v>26</v>
      </c>
      <c r="P86" s="38">
        <f t="shared" si="2"/>
        <v>100</v>
      </c>
      <c r="Q86" s="61" t="s">
        <v>63</v>
      </c>
      <c r="R86" s="61" t="str">
        <f t="shared" si="3"/>
        <v>X</v>
      </c>
      <c r="S86" s="62" t="s">
        <v>60</v>
      </c>
      <c r="T86" s="34" t="str">
        <f>IF('PL1(Full)'!$N86&gt;=20,"x",IF(AND('PL1(Full)'!$N86&gt;=15,'PL1(Full)'!$P86&gt;60),"x",""))</f>
        <v>x</v>
      </c>
      <c r="U86" s="34" t="str">
        <f>IF(AND('PL1(Full)'!$H86="Thôn",'PL1(Full)'!$I86&lt;75),"x",IF(AND('PL1(Full)'!$H86="Tổ",'PL1(Full)'!$I86&lt;100),"x","-"))</f>
        <v>x</v>
      </c>
      <c r="V86" s="34" t="str">
        <f>IF(AND('PL1(Full)'!$H86="Thôn",'PL1(Full)'!$I86&lt;140),"x",IF(AND('PL1(Full)'!$H86="Tổ",'PL1(Full)'!$I86&lt;210),"x","-"))</f>
        <v>x</v>
      </c>
      <c r="W86" s="40" t="str">
        <f t="shared" si="14"/>
        <v>Loại 3</v>
      </c>
      <c r="X86" s="34"/>
    </row>
    <row r="87" spans="1:24" ht="15.75" customHeight="1">
      <c r="A87" s="30">
        <f>_xlfn.AGGREGATE(4,7,A$6:A86)+1</f>
        <v>53</v>
      </c>
      <c r="B87" s="31" t="str">
        <f t="shared" si="13"/>
        <v>H. Ba Bể</v>
      </c>
      <c r="C87" s="31" t="str">
        <f t="shared" si="21"/>
        <v>X. Hoàng Trĩ</v>
      </c>
      <c r="D87" s="34"/>
      <c r="E87" s="34" t="s">
        <v>58</v>
      </c>
      <c r="F87" s="31" t="s">
        <v>143</v>
      </c>
      <c r="G87" s="34"/>
      <c r="H87" s="34" t="str">
        <f>IF(LEFT('PL1(Full)'!$F87,4)="Thôn","Thôn","Tổ")</f>
        <v>Thôn</v>
      </c>
      <c r="I87" s="36">
        <v>58</v>
      </c>
      <c r="J87" s="36">
        <v>215</v>
      </c>
      <c r="K87" s="36">
        <v>58</v>
      </c>
      <c r="L87" s="37">
        <f t="shared" si="0"/>
        <v>100</v>
      </c>
      <c r="M87" s="36">
        <v>17</v>
      </c>
      <c r="N87" s="38">
        <f t="shared" si="1"/>
        <v>29.310344827586206</v>
      </c>
      <c r="O87" s="36">
        <v>17</v>
      </c>
      <c r="P87" s="38">
        <f t="shared" si="2"/>
        <v>100</v>
      </c>
      <c r="Q87" s="61" t="s">
        <v>56</v>
      </c>
      <c r="R87" s="61" t="str">
        <f t="shared" si="3"/>
        <v>X</v>
      </c>
      <c r="S87" s="62"/>
      <c r="T87" s="34" t="str">
        <f>IF('PL1(Full)'!$N87&gt;=20,"x",IF(AND('PL1(Full)'!$N87&gt;=15,'PL1(Full)'!$P87&gt;60),"x",""))</f>
        <v>x</v>
      </c>
      <c r="U87" s="34" t="str">
        <f>IF(AND('PL1(Full)'!$H87="Thôn",'PL1(Full)'!$I87&lt;75),"x",IF(AND('PL1(Full)'!$H87="Tổ",'PL1(Full)'!$I87&lt;100),"x","-"))</f>
        <v>x</v>
      </c>
      <c r="V87" s="34" t="str">
        <f>IF(AND('PL1(Full)'!$H87="Thôn",'PL1(Full)'!$I87&lt;140),"x",IF(AND('PL1(Full)'!$H87="Tổ",'PL1(Full)'!$I87&lt;210),"x","-"))</f>
        <v>x</v>
      </c>
      <c r="W87" s="40" t="str">
        <f t="shared" si="14"/>
        <v>Loại 3</v>
      </c>
      <c r="X87" s="34"/>
    </row>
    <row r="88" spans="1:24" ht="15.75" customHeight="1">
      <c r="A88" s="30">
        <f>_xlfn.AGGREGATE(4,7,A$6:A87)+1</f>
        <v>54</v>
      </c>
      <c r="B88" s="31" t="str">
        <f t="shared" si="13"/>
        <v>H. Ba Bể</v>
      </c>
      <c r="C88" s="31" t="str">
        <f t="shared" si="21"/>
        <v>X. Hoàng Trĩ</v>
      </c>
      <c r="D88" s="34"/>
      <c r="E88" s="34" t="s">
        <v>58</v>
      </c>
      <c r="F88" s="31" t="s">
        <v>144</v>
      </c>
      <c r="G88" s="34"/>
      <c r="H88" s="34" t="str">
        <f>IF(LEFT('PL1(Full)'!$F88,4)="Thôn","Thôn","Tổ")</f>
        <v>Thôn</v>
      </c>
      <c r="I88" s="36">
        <v>59</v>
      </c>
      <c r="J88" s="36">
        <v>266</v>
      </c>
      <c r="K88" s="36">
        <v>59</v>
      </c>
      <c r="L88" s="37">
        <f t="shared" si="0"/>
        <v>100</v>
      </c>
      <c r="M88" s="36">
        <v>27</v>
      </c>
      <c r="N88" s="38">
        <f t="shared" si="1"/>
        <v>45.762711864406782</v>
      </c>
      <c r="O88" s="36">
        <v>27</v>
      </c>
      <c r="P88" s="38">
        <f t="shared" si="2"/>
        <v>100</v>
      </c>
      <c r="Q88" s="61" t="s">
        <v>56</v>
      </c>
      <c r="R88" s="61" t="str">
        <f t="shared" si="3"/>
        <v>X</v>
      </c>
      <c r="S88" s="62" t="s">
        <v>60</v>
      </c>
      <c r="T88" s="34" t="str">
        <f>IF('PL1(Full)'!$N88&gt;=20,"x",IF(AND('PL1(Full)'!$N88&gt;=15,'PL1(Full)'!$P88&gt;60),"x",""))</f>
        <v>x</v>
      </c>
      <c r="U88" s="34" t="str">
        <f>IF(AND('PL1(Full)'!$H88="Thôn",'PL1(Full)'!$I88&lt;75),"x",IF(AND('PL1(Full)'!$H88="Tổ",'PL1(Full)'!$I88&lt;100),"x","-"))</f>
        <v>x</v>
      </c>
      <c r="V88" s="34" t="str">
        <f>IF(AND('PL1(Full)'!$H88="Thôn",'PL1(Full)'!$I88&lt;140),"x",IF(AND('PL1(Full)'!$H88="Tổ",'PL1(Full)'!$I88&lt;210),"x","-"))</f>
        <v>x</v>
      </c>
      <c r="W88" s="40" t="str">
        <f t="shared" si="14"/>
        <v>Loại 3</v>
      </c>
      <c r="X88" s="34"/>
    </row>
    <row r="89" spans="1:24" ht="15.75" customHeight="1">
      <c r="A89" s="30">
        <f>_xlfn.AGGREGATE(4,7,A$6:A88)+1</f>
        <v>55</v>
      </c>
      <c r="B89" s="31" t="str">
        <f t="shared" si="13"/>
        <v>H. Ba Bể</v>
      </c>
      <c r="C89" s="31" t="str">
        <f t="shared" si="21"/>
        <v>X. Hoàng Trĩ</v>
      </c>
      <c r="D89" s="34"/>
      <c r="E89" s="34" t="s">
        <v>58</v>
      </c>
      <c r="F89" s="31" t="s">
        <v>145</v>
      </c>
      <c r="G89" s="34"/>
      <c r="H89" s="34" t="str">
        <f>IF(LEFT('PL1(Full)'!$F89,4)="Thôn","Thôn","Tổ")</f>
        <v>Thôn</v>
      </c>
      <c r="I89" s="36">
        <v>50</v>
      </c>
      <c r="J89" s="36">
        <v>214</v>
      </c>
      <c r="K89" s="36">
        <v>50</v>
      </c>
      <c r="L89" s="37">
        <f t="shared" si="0"/>
        <v>100</v>
      </c>
      <c r="M89" s="36">
        <v>19</v>
      </c>
      <c r="N89" s="38">
        <f t="shared" si="1"/>
        <v>38</v>
      </c>
      <c r="O89" s="36">
        <v>19</v>
      </c>
      <c r="P89" s="38">
        <f t="shared" si="2"/>
        <v>100</v>
      </c>
      <c r="Q89" s="61" t="s">
        <v>56</v>
      </c>
      <c r="R89" s="61" t="str">
        <f t="shared" si="3"/>
        <v>X</v>
      </c>
      <c r="S89" s="62"/>
      <c r="T89" s="34" t="str">
        <f>IF('PL1(Full)'!$N89&gt;=20,"x",IF(AND('PL1(Full)'!$N89&gt;=15,'PL1(Full)'!$P89&gt;60),"x",""))</f>
        <v>x</v>
      </c>
      <c r="U89" s="34" t="str">
        <f>IF(AND('PL1(Full)'!$H89="Thôn",'PL1(Full)'!$I89&lt;75),"x",IF(AND('PL1(Full)'!$H89="Tổ",'PL1(Full)'!$I89&lt;100),"x","-"))</f>
        <v>x</v>
      </c>
      <c r="V89" s="34" t="str">
        <f>IF(AND('PL1(Full)'!$H89="Thôn",'PL1(Full)'!$I89&lt;140),"x",IF(AND('PL1(Full)'!$H89="Tổ",'PL1(Full)'!$I89&lt;210),"x","-"))</f>
        <v>x</v>
      </c>
      <c r="W89" s="40" t="str">
        <f t="shared" si="14"/>
        <v>Loại 3</v>
      </c>
      <c r="X89" s="34"/>
    </row>
    <row r="90" spans="1:24" ht="15.75" hidden="1" customHeight="1">
      <c r="A90" s="41">
        <f>_xlfn.AGGREGATE(4,7,A$6:A89)+1</f>
        <v>56</v>
      </c>
      <c r="B90" s="42" t="str">
        <f t="shared" si="13"/>
        <v>H. Ba Bể</v>
      </c>
      <c r="C90" s="42" t="str">
        <f t="shared" si="21"/>
        <v>X. Hoàng Trĩ</v>
      </c>
      <c r="D90" s="50"/>
      <c r="E90" s="50" t="s">
        <v>58</v>
      </c>
      <c r="F90" s="42" t="s">
        <v>146</v>
      </c>
      <c r="G90" s="50"/>
      <c r="H90" s="50" t="str">
        <f>IF(LEFT('PL1(Full)'!$F90,4)="Thôn","Thôn","Tổ")</f>
        <v>Thôn</v>
      </c>
      <c r="I90" s="46">
        <v>85</v>
      </c>
      <c r="J90" s="46">
        <v>361</v>
      </c>
      <c r="K90" s="46">
        <v>85</v>
      </c>
      <c r="L90" s="47">
        <f t="shared" si="0"/>
        <v>100</v>
      </c>
      <c r="M90" s="46">
        <v>27</v>
      </c>
      <c r="N90" s="48">
        <f t="shared" si="1"/>
        <v>31.764705882352942</v>
      </c>
      <c r="O90" s="46">
        <v>27</v>
      </c>
      <c r="P90" s="48">
        <f t="shared" si="2"/>
        <v>100</v>
      </c>
      <c r="Q90" s="63" t="s">
        <v>49</v>
      </c>
      <c r="R90" s="63" t="str">
        <f t="shared" si="3"/>
        <v>X</v>
      </c>
      <c r="S90" s="64" t="s">
        <v>60</v>
      </c>
      <c r="T90" s="50" t="str">
        <f>IF('PL1(Full)'!$N90&gt;=20,"x",IF(AND('PL1(Full)'!$N90&gt;=15,'PL1(Full)'!$P90&gt;60),"x",""))</f>
        <v>x</v>
      </c>
      <c r="U90" s="50" t="str">
        <f>IF(AND('PL1(Full)'!$H90="Thôn",'PL1(Full)'!$I90&lt;75),"x",IF(AND('PL1(Full)'!$H90="Tổ",'PL1(Full)'!$I90&lt;100),"x","-"))</f>
        <v>-</v>
      </c>
      <c r="V90" s="34" t="str">
        <f>IF(AND('PL1(Full)'!$H90="Thôn",'PL1(Full)'!$I90&lt;140),"x",IF(AND('PL1(Full)'!$H90="Tổ",'PL1(Full)'!$I90&lt;210),"x","-"))</f>
        <v>x</v>
      </c>
      <c r="W90" s="51" t="str">
        <f t="shared" si="14"/>
        <v>Loại 3</v>
      </c>
      <c r="X90" s="50"/>
    </row>
    <row r="91" spans="1:24" ht="15.75" hidden="1" customHeight="1">
      <c r="A91" s="52">
        <f>_xlfn.AGGREGATE(4,7,A$6:A90)+1</f>
        <v>56</v>
      </c>
      <c r="B91" s="14" t="str">
        <f t="shared" si="13"/>
        <v>H. Ba Bể</v>
      </c>
      <c r="C91" s="14" t="s">
        <v>147</v>
      </c>
      <c r="D91" s="25" t="s">
        <v>58</v>
      </c>
      <c r="E91" s="25" t="s">
        <v>58</v>
      </c>
      <c r="F91" s="14" t="s">
        <v>148</v>
      </c>
      <c r="G91" s="25"/>
      <c r="H91" s="25" t="str">
        <f>IF(LEFT('PL1(Full)'!$F91,4)="Thôn","Thôn","Tổ")</f>
        <v>Thôn</v>
      </c>
      <c r="I91" s="19">
        <v>104</v>
      </c>
      <c r="J91" s="20">
        <v>469</v>
      </c>
      <c r="K91" s="20">
        <v>104</v>
      </c>
      <c r="L91" s="21">
        <f t="shared" si="0"/>
        <v>100</v>
      </c>
      <c r="M91" s="20">
        <v>7</v>
      </c>
      <c r="N91" s="22">
        <f t="shared" si="1"/>
        <v>6.7307692307692308</v>
      </c>
      <c r="O91" s="20">
        <v>7</v>
      </c>
      <c r="P91" s="22">
        <f t="shared" si="2"/>
        <v>100</v>
      </c>
      <c r="Q91" s="23" t="s">
        <v>43</v>
      </c>
      <c r="R91" s="24" t="str">
        <f t="shared" si="3"/>
        <v>X</v>
      </c>
      <c r="S91" s="25"/>
      <c r="T91" s="26" t="str">
        <f>IF('PL1(Full)'!$N91&gt;=20,"x",IF(AND('PL1(Full)'!$N91&gt;=15,'PL1(Full)'!$P91&gt;60),"x",""))</f>
        <v/>
      </c>
      <c r="U91" s="27" t="str">
        <f>IF(AND('PL1(Full)'!$H91="Thôn",'PL1(Full)'!$I91&lt;75),"x",IF(AND('PL1(Full)'!$H91="Tổ",'PL1(Full)'!$I91&lt;100),"x","-"))</f>
        <v>-</v>
      </c>
      <c r="V91" s="28" t="str">
        <f>IF(AND('PL1(Full)'!$H91="Thôn",'PL1(Full)'!$I91&lt;140),"x",IF(AND('PL1(Full)'!$H91="Tổ",'PL1(Full)'!$I91&lt;210),"x","-"))</f>
        <v>x</v>
      </c>
      <c r="W91" s="29" t="str">
        <f t="shared" si="14"/>
        <v>Loại 2</v>
      </c>
      <c r="X91" s="25"/>
    </row>
    <row r="92" spans="1:24" ht="15.75" hidden="1" customHeight="1">
      <c r="A92" s="30">
        <f>_xlfn.AGGREGATE(4,7,A$6:A91)+1</f>
        <v>56</v>
      </c>
      <c r="B92" s="31" t="str">
        <f t="shared" si="13"/>
        <v>H. Ba Bể</v>
      </c>
      <c r="C92" s="31" t="str">
        <f t="shared" ref="C92:C105" si="22">C91</f>
        <v>X. Khang Ninh</v>
      </c>
      <c r="D92" s="34"/>
      <c r="E92" s="34" t="s">
        <v>58</v>
      </c>
      <c r="F92" s="31" t="s">
        <v>149</v>
      </c>
      <c r="G92" s="34"/>
      <c r="H92" s="34" t="str">
        <f>IF(LEFT('PL1(Full)'!$F92,4)="Thôn","Thôn","Tổ")</f>
        <v>Thôn</v>
      </c>
      <c r="I92" s="35">
        <v>95</v>
      </c>
      <c r="J92" s="36">
        <v>408</v>
      </c>
      <c r="K92" s="36">
        <v>93</v>
      </c>
      <c r="L92" s="37">
        <f t="shared" si="0"/>
        <v>97.89473684210526</v>
      </c>
      <c r="M92" s="36">
        <v>1</v>
      </c>
      <c r="N92" s="38">
        <f t="shared" si="1"/>
        <v>1.0526315789473684</v>
      </c>
      <c r="O92" s="36">
        <v>1</v>
      </c>
      <c r="P92" s="38">
        <f t="shared" si="2"/>
        <v>100</v>
      </c>
      <c r="Q92" s="39" t="s">
        <v>150</v>
      </c>
      <c r="R92" s="39" t="str">
        <f t="shared" si="3"/>
        <v>X</v>
      </c>
      <c r="S92" s="34"/>
      <c r="T92" s="34" t="str">
        <f>IF('PL1(Full)'!$N92&gt;=20,"x",IF(AND('PL1(Full)'!$N92&gt;=15,'PL1(Full)'!$P92&gt;60),"x",""))</f>
        <v/>
      </c>
      <c r="U92" s="34" t="str">
        <f>IF(AND('PL1(Full)'!$H92="Thôn",'PL1(Full)'!$I92&lt;75),"x",IF(AND('PL1(Full)'!$H92="Tổ",'PL1(Full)'!$I92&lt;100),"x","-"))</f>
        <v>-</v>
      </c>
      <c r="V92" s="34" t="str">
        <f>IF(AND('PL1(Full)'!$H92="Thôn",'PL1(Full)'!$I92&lt;140),"x",IF(AND('PL1(Full)'!$H92="Tổ",'PL1(Full)'!$I92&lt;210),"x","-"))</f>
        <v>x</v>
      </c>
      <c r="W92" s="40" t="str">
        <f t="shared" si="14"/>
        <v>Loại 3</v>
      </c>
      <c r="X92" s="34"/>
    </row>
    <row r="93" spans="1:24" ht="15.75" customHeight="1">
      <c r="A93" s="30">
        <f>_xlfn.AGGREGATE(4,7,A$6:A92)+1</f>
        <v>56</v>
      </c>
      <c r="B93" s="31" t="str">
        <f t="shared" si="13"/>
        <v>H. Ba Bể</v>
      </c>
      <c r="C93" s="31" t="str">
        <f t="shared" si="22"/>
        <v>X. Khang Ninh</v>
      </c>
      <c r="D93" s="34"/>
      <c r="E93" s="34" t="s">
        <v>58</v>
      </c>
      <c r="F93" s="31" t="s">
        <v>151</v>
      </c>
      <c r="G93" s="34"/>
      <c r="H93" s="34" t="str">
        <f>IF(LEFT('PL1(Full)'!$F93,4)="Thôn","Thôn","Tổ")</f>
        <v>Thôn</v>
      </c>
      <c r="I93" s="35">
        <v>49</v>
      </c>
      <c r="J93" s="36">
        <v>219</v>
      </c>
      <c r="K93" s="36">
        <v>50</v>
      </c>
      <c r="L93" s="37">
        <f t="shared" si="0"/>
        <v>102.04081632653062</v>
      </c>
      <c r="M93" s="36">
        <v>11</v>
      </c>
      <c r="N93" s="38">
        <f t="shared" si="1"/>
        <v>22.448979591836736</v>
      </c>
      <c r="O93" s="36">
        <v>11</v>
      </c>
      <c r="P93" s="38">
        <f t="shared" si="2"/>
        <v>100</v>
      </c>
      <c r="Q93" s="39" t="s">
        <v>82</v>
      </c>
      <c r="R93" s="39" t="str">
        <f t="shared" si="3"/>
        <v>X</v>
      </c>
      <c r="S93" s="34" t="s">
        <v>60</v>
      </c>
      <c r="T93" s="34" t="str">
        <f>IF('PL1(Full)'!$N93&gt;=20,"x",IF(AND('PL1(Full)'!$N93&gt;=15,'PL1(Full)'!$P93&gt;60),"x",""))</f>
        <v>x</v>
      </c>
      <c r="U93" s="34" t="str">
        <f>IF(AND('PL1(Full)'!$H93="Thôn",'PL1(Full)'!$I93&lt;75),"x",IF(AND('PL1(Full)'!$H93="Tổ",'PL1(Full)'!$I93&lt;100),"x","-"))</f>
        <v>x</v>
      </c>
      <c r="V93" s="34" t="str">
        <f>IF(AND('PL1(Full)'!$H93="Thôn",'PL1(Full)'!$I93&lt;140),"x",IF(AND('PL1(Full)'!$H93="Tổ",'PL1(Full)'!$I93&lt;210),"x","-"))</f>
        <v>x</v>
      </c>
      <c r="W93" s="40" t="str">
        <f t="shared" si="14"/>
        <v>Loại 3</v>
      </c>
      <c r="X93" s="34"/>
    </row>
    <row r="94" spans="1:24" ht="15.75" customHeight="1">
      <c r="A94" s="30">
        <f>_xlfn.AGGREGATE(4,7,A$6:A93)+1</f>
        <v>57</v>
      </c>
      <c r="B94" s="31" t="str">
        <f t="shared" si="13"/>
        <v>H. Ba Bể</v>
      </c>
      <c r="C94" s="31" t="str">
        <f t="shared" si="22"/>
        <v>X. Khang Ninh</v>
      </c>
      <c r="D94" s="34"/>
      <c r="E94" s="34" t="s">
        <v>58</v>
      </c>
      <c r="F94" s="31" t="s">
        <v>152</v>
      </c>
      <c r="G94" s="34"/>
      <c r="H94" s="34" t="str">
        <f>IF(LEFT('PL1(Full)'!$F94,4)="Thôn","Thôn","Tổ")</f>
        <v>Thôn</v>
      </c>
      <c r="I94" s="35">
        <v>55</v>
      </c>
      <c r="J94" s="36">
        <v>262</v>
      </c>
      <c r="K94" s="36">
        <v>53</v>
      </c>
      <c r="L94" s="37">
        <f t="shared" si="0"/>
        <v>96.36363636363636</v>
      </c>
      <c r="M94" s="36">
        <v>42</v>
      </c>
      <c r="N94" s="38">
        <f t="shared" si="1"/>
        <v>76.36363636363636</v>
      </c>
      <c r="O94" s="36">
        <v>42</v>
      </c>
      <c r="P94" s="38">
        <f t="shared" si="2"/>
        <v>100</v>
      </c>
      <c r="Q94" s="39" t="s">
        <v>82</v>
      </c>
      <c r="R94" s="39" t="str">
        <f t="shared" si="3"/>
        <v>X</v>
      </c>
      <c r="S94" s="34" t="s">
        <v>60</v>
      </c>
      <c r="T94" s="34" t="str">
        <f>IF('PL1(Full)'!$N94&gt;=20,"x",IF(AND('PL1(Full)'!$N94&gt;=15,'PL1(Full)'!$P94&gt;60),"x",""))</f>
        <v>x</v>
      </c>
      <c r="U94" s="34" t="str">
        <f>IF(AND('PL1(Full)'!$H94="Thôn",'PL1(Full)'!$I94&lt;75),"x",IF(AND('PL1(Full)'!$H94="Tổ",'PL1(Full)'!$I94&lt;100),"x","-"))</f>
        <v>x</v>
      </c>
      <c r="V94" s="34" t="str">
        <f>IF(AND('PL1(Full)'!$H94="Thôn",'PL1(Full)'!$I94&lt;140),"x",IF(AND('PL1(Full)'!$H94="Tổ",'PL1(Full)'!$I94&lt;210),"x","-"))</f>
        <v>x</v>
      </c>
      <c r="W94" s="40" t="str">
        <f t="shared" si="14"/>
        <v>Loại 3</v>
      </c>
      <c r="X94" s="34"/>
    </row>
    <row r="95" spans="1:24" ht="15.75" customHeight="1">
      <c r="A95" s="30">
        <f>_xlfn.AGGREGATE(4,7,A$6:A94)+1</f>
        <v>58</v>
      </c>
      <c r="B95" s="31" t="str">
        <f t="shared" si="13"/>
        <v>H. Ba Bể</v>
      </c>
      <c r="C95" s="31" t="str">
        <f t="shared" si="22"/>
        <v>X. Khang Ninh</v>
      </c>
      <c r="D95" s="34"/>
      <c r="E95" s="34" t="s">
        <v>58</v>
      </c>
      <c r="F95" s="31" t="s">
        <v>153</v>
      </c>
      <c r="G95" s="34"/>
      <c r="H95" s="34" t="str">
        <f>IF(LEFT('PL1(Full)'!$F95,4)="Thôn","Thôn","Tổ")</f>
        <v>Thôn</v>
      </c>
      <c r="I95" s="35">
        <v>25</v>
      </c>
      <c r="J95" s="36">
        <v>132</v>
      </c>
      <c r="K95" s="36">
        <v>26</v>
      </c>
      <c r="L95" s="37">
        <f t="shared" si="0"/>
        <v>104</v>
      </c>
      <c r="M95" s="36">
        <v>1</v>
      </c>
      <c r="N95" s="38">
        <f t="shared" si="1"/>
        <v>4</v>
      </c>
      <c r="O95" s="36">
        <v>1</v>
      </c>
      <c r="P95" s="38">
        <f t="shared" si="2"/>
        <v>100</v>
      </c>
      <c r="Q95" s="39" t="s">
        <v>154</v>
      </c>
      <c r="R95" s="39" t="str">
        <f t="shared" si="3"/>
        <v>X</v>
      </c>
      <c r="S95" s="34"/>
      <c r="T95" s="34" t="str">
        <f>IF('PL1(Full)'!$N95&gt;=20,"x",IF(AND('PL1(Full)'!$N95&gt;=15,'PL1(Full)'!$P95&gt;60),"x",""))</f>
        <v/>
      </c>
      <c r="U95" s="34" t="str">
        <f>IF(AND('PL1(Full)'!$H95="Thôn",'PL1(Full)'!$I95&lt;75),"x",IF(AND('PL1(Full)'!$H95="Tổ",'PL1(Full)'!$I95&lt;100),"x","-"))</f>
        <v>x</v>
      </c>
      <c r="V95" s="34" t="str">
        <f>IF(AND('PL1(Full)'!$H95="Thôn",'PL1(Full)'!$I95&lt;140),"x",IF(AND('PL1(Full)'!$H95="Tổ",'PL1(Full)'!$I95&lt;210),"x","-"))</f>
        <v>x</v>
      </c>
      <c r="W95" s="40" t="str">
        <f t="shared" si="14"/>
        <v>Loại 3</v>
      </c>
      <c r="X95" s="34"/>
    </row>
    <row r="96" spans="1:24" ht="15.75" customHeight="1">
      <c r="A96" s="30">
        <f>_xlfn.AGGREGATE(4,7,A$6:A95)+1</f>
        <v>59</v>
      </c>
      <c r="B96" s="31" t="str">
        <f t="shared" si="13"/>
        <v>H. Ba Bể</v>
      </c>
      <c r="C96" s="31" t="str">
        <f t="shared" si="22"/>
        <v>X. Khang Ninh</v>
      </c>
      <c r="D96" s="34"/>
      <c r="E96" s="34" t="s">
        <v>58</v>
      </c>
      <c r="F96" s="31" t="s">
        <v>155</v>
      </c>
      <c r="G96" s="34"/>
      <c r="H96" s="34" t="str">
        <f>IF(LEFT('PL1(Full)'!$F96,4)="Thôn","Thôn","Tổ")</f>
        <v>Thôn</v>
      </c>
      <c r="I96" s="35">
        <v>38</v>
      </c>
      <c r="J96" s="36">
        <v>182</v>
      </c>
      <c r="K96" s="36">
        <v>37</v>
      </c>
      <c r="L96" s="37">
        <f t="shared" si="0"/>
        <v>97.368421052631575</v>
      </c>
      <c r="M96" s="36">
        <v>5</v>
      </c>
      <c r="N96" s="38">
        <f t="shared" si="1"/>
        <v>13.157894736842104</v>
      </c>
      <c r="O96" s="36">
        <v>5</v>
      </c>
      <c r="P96" s="38">
        <f t="shared" si="2"/>
        <v>100</v>
      </c>
      <c r="Q96" s="39" t="s">
        <v>82</v>
      </c>
      <c r="R96" s="39" t="str">
        <f t="shared" si="3"/>
        <v>X</v>
      </c>
      <c r="S96" s="34" t="s">
        <v>60</v>
      </c>
      <c r="T96" s="34" t="str">
        <f>IF('PL1(Full)'!$N96&gt;=20,"x",IF(AND('PL1(Full)'!$N96&gt;=15,'PL1(Full)'!$P96&gt;60),"x",""))</f>
        <v/>
      </c>
      <c r="U96" s="34" t="str">
        <f>IF(AND('PL1(Full)'!$H96="Thôn",'PL1(Full)'!$I96&lt;75),"x",IF(AND('PL1(Full)'!$H96="Tổ",'PL1(Full)'!$I96&lt;100),"x","-"))</f>
        <v>x</v>
      </c>
      <c r="V96" s="34" t="str">
        <f>IF(AND('PL1(Full)'!$H96="Thôn",'PL1(Full)'!$I96&lt;140),"x",IF(AND('PL1(Full)'!$H96="Tổ",'PL1(Full)'!$I96&lt;210),"x","-"))</f>
        <v>x</v>
      </c>
      <c r="W96" s="40" t="str">
        <f t="shared" si="14"/>
        <v>Loại 3</v>
      </c>
      <c r="X96" s="34"/>
    </row>
    <row r="97" spans="1:24" ht="15.75" customHeight="1">
      <c r="A97" s="30">
        <f>_xlfn.AGGREGATE(4,7,A$6:A96)+1</f>
        <v>60</v>
      </c>
      <c r="B97" s="31" t="str">
        <f t="shared" si="13"/>
        <v>H. Ba Bể</v>
      </c>
      <c r="C97" s="31" t="str">
        <f t="shared" si="22"/>
        <v>X. Khang Ninh</v>
      </c>
      <c r="D97" s="34"/>
      <c r="E97" s="34" t="s">
        <v>58</v>
      </c>
      <c r="F97" s="31" t="s">
        <v>143</v>
      </c>
      <c r="G97" s="34"/>
      <c r="H97" s="34" t="str">
        <f>IF(LEFT('PL1(Full)'!$F97,4)="Thôn","Thôn","Tổ")</f>
        <v>Thôn</v>
      </c>
      <c r="I97" s="35">
        <v>68</v>
      </c>
      <c r="J97" s="36">
        <v>320</v>
      </c>
      <c r="K97" s="36">
        <v>66</v>
      </c>
      <c r="L97" s="37">
        <f t="shared" si="0"/>
        <v>97.058823529411768</v>
      </c>
      <c r="M97" s="36">
        <v>7</v>
      </c>
      <c r="N97" s="38">
        <f t="shared" si="1"/>
        <v>10.294117647058824</v>
      </c>
      <c r="O97" s="36">
        <v>7</v>
      </c>
      <c r="P97" s="38">
        <f t="shared" si="2"/>
        <v>100</v>
      </c>
      <c r="Q97" s="39" t="s">
        <v>82</v>
      </c>
      <c r="R97" s="39" t="str">
        <f t="shared" si="3"/>
        <v>X</v>
      </c>
      <c r="S97" s="34" t="s">
        <v>60</v>
      </c>
      <c r="T97" s="34" t="str">
        <f>IF('PL1(Full)'!$N97&gt;=20,"x",IF(AND('PL1(Full)'!$N97&gt;=15,'PL1(Full)'!$P97&gt;60),"x",""))</f>
        <v/>
      </c>
      <c r="U97" s="34" t="str">
        <f>IF(AND('PL1(Full)'!$H97="Thôn",'PL1(Full)'!$I97&lt;75),"x",IF(AND('PL1(Full)'!$H97="Tổ",'PL1(Full)'!$I97&lt;100),"x","-"))</f>
        <v>x</v>
      </c>
      <c r="V97" s="34" t="str">
        <f>IF(AND('PL1(Full)'!$H97="Thôn",'PL1(Full)'!$I97&lt;140),"x",IF(AND('PL1(Full)'!$H97="Tổ",'PL1(Full)'!$I97&lt;210),"x","-"))</f>
        <v>x</v>
      </c>
      <c r="W97" s="40" t="str">
        <f t="shared" si="14"/>
        <v>Loại 3</v>
      </c>
      <c r="X97" s="34"/>
    </row>
    <row r="98" spans="1:24" ht="15.75" customHeight="1">
      <c r="A98" s="30">
        <f>_xlfn.AGGREGATE(4,7,A$6:A97)+1</f>
        <v>61</v>
      </c>
      <c r="B98" s="31" t="str">
        <f t="shared" si="13"/>
        <v>H. Ba Bể</v>
      </c>
      <c r="C98" s="31" t="str">
        <f t="shared" si="22"/>
        <v>X. Khang Ninh</v>
      </c>
      <c r="D98" s="34"/>
      <c r="E98" s="34" t="s">
        <v>58</v>
      </c>
      <c r="F98" s="31" t="s">
        <v>156</v>
      </c>
      <c r="G98" s="34"/>
      <c r="H98" s="34" t="str">
        <f>IF(LEFT('PL1(Full)'!$F98,4)="Thôn","Thôn","Tổ")</f>
        <v>Thôn</v>
      </c>
      <c r="I98" s="35">
        <v>13</v>
      </c>
      <c r="J98" s="36">
        <v>52</v>
      </c>
      <c r="K98" s="36">
        <v>12</v>
      </c>
      <c r="L98" s="37">
        <f t="shared" si="0"/>
        <v>92.307692307692307</v>
      </c>
      <c r="M98" s="36">
        <v>4</v>
      </c>
      <c r="N98" s="38">
        <f t="shared" si="1"/>
        <v>30.76923076923077</v>
      </c>
      <c r="O98" s="36">
        <v>4</v>
      </c>
      <c r="P98" s="38">
        <f t="shared" si="2"/>
        <v>100</v>
      </c>
      <c r="Q98" s="39" t="s">
        <v>82</v>
      </c>
      <c r="R98" s="39" t="str">
        <f t="shared" si="3"/>
        <v>X</v>
      </c>
      <c r="S98" s="34" t="s">
        <v>60</v>
      </c>
      <c r="T98" s="34" t="str">
        <f>IF('PL1(Full)'!$N98&gt;=20,"x",IF(AND('PL1(Full)'!$N98&gt;=15,'PL1(Full)'!$P98&gt;60),"x",""))</f>
        <v>x</v>
      </c>
      <c r="U98" s="34" t="str">
        <f>IF(AND('PL1(Full)'!$H98="Thôn",'PL1(Full)'!$I98&lt;75),"x",IF(AND('PL1(Full)'!$H98="Tổ",'PL1(Full)'!$I98&lt;100),"x","-"))</f>
        <v>x</v>
      </c>
      <c r="V98" s="34" t="str">
        <f>IF(AND('PL1(Full)'!$H98="Thôn",'PL1(Full)'!$I98&lt;140),"x",IF(AND('PL1(Full)'!$H98="Tổ",'PL1(Full)'!$I98&lt;210),"x","-"))</f>
        <v>x</v>
      </c>
      <c r="W98" s="40" t="str">
        <f t="shared" si="14"/>
        <v>Loại 3</v>
      </c>
      <c r="X98" s="34"/>
    </row>
    <row r="99" spans="1:24" ht="15.75" hidden="1" customHeight="1">
      <c r="A99" s="30">
        <f>_xlfn.AGGREGATE(4,7,A$6:A98)+1</f>
        <v>62</v>
      </c>
      <c r="B99" s="31" t="str">
        <f t="shared" si="13"/>
        <v>H. Ba Bể</v>
      </c>
      <c r="C99" s="31" t="str">
        <f t="shared" si="22"/>
        <v>X. Khang Ninh</v>
      </c>
      <c r="D99" s="34"/>
      <c r="E99" s="34" t="s">
        <v>58</v>
      </c>
      <c r="F99" s="31" t="s">
        <v>157</v>
      </c>
      <c r="G99" s="34"/>
      <c r="H99" s="34" t="str">
        <f>IF(LEFT('PL1(Full)'!$F99,4)="Thôn","Thôn","Tổ")</f>
        <v>Thôn</v>
      </c>
      <c r="I99" s="35">
        <v>81</v>
      </c>
      <c r="J99" s="36">
        <v>354</v>
      </c>
      <c r="K99" s="36">
        <v>80</v>
      </c>
      <c r="L99" s="37">
        <f t="shared" si="0"/>
        <v>98.76543209876543</v>
      </c>
      <c r="M99" s="36">
        <v>4</v>
      </c>
      <c r="N99" s="38">
        <f t="shared" si="1"/>
        <v>4.9382716049382713</v>
      </c>
      <c r="O99" s="36">
        <v>4</v>
      </c>
      <c r="P99" s="38">
        <f t="shared" si="2"/>
        <v>100</v>
      </c>
      <c r="Q99" s="39" t="s">
        <v>158</v>
      </c>
      <c r="R99" s="39" t="str">
        <f t="shared" si="3"/>
        <v>X</v>
      </c>
      <c r="S99" s="34"/>
      <c r="T99" s="34" t="str">
        <f>IF('PL1(Full)'!$N99&gt;=20,"x",IF(AND('PL1(Full)'!$N99&gt;=15,'PL1(Full)'!$P99&gt;60),"x",""))</f>
        <v/>
      </c>
      <c r="U99" s="34" t="str">
        <f>IF(AND('PL1(Full)'!$H99="Thôn",'PL1(Full)'!$I99&lt;75),"x",IF(AND('PL1(Full)'!$H99="Tổ",'PL1(Full)'!$I99&lt;100),"x","-"))</f>
        <v>-</v>
      </c>
      <c r="V99" s="34" t="str">
        <f>IF(AND('PL1(Full)'!$H99="Thôn",'PL1(Full)'!$I99&lt;140),"x",IF(AND('PL1(Full)'!$H99="Tổ",'PL1(Full)'!$I99&lt;210),"x","-"))</f>
        <v>x</v>
      </c>
      <c r="W99" s="40" t="str">
        <f t="shared" si="14"/>
        <v>Loại 3</v>
      </c>
      <c r="X99" s="34"/>
    </row>
    <row r="100" spans="1:24" ht="15.75" hidden="1" customHeight="1">
      <c r="A100" s="30">
        <f>_xlfn.AGGREGATE(4,7,A$6:A99)+1</f>
        <v>62</v>
      </c>
      <c r="B100" s="31" t="str">
        <f t="shared" si="13"/>
        <v>H. Ba Bể</v>
      </c>
      <c r="C100" s="31" t="str">
        <f t="shared" si="22"/>
        <v>X. Khang Ninh</v>
      </c>
      <c r="D100" s="34"/>
      <c r="E100" s="34" t="s">
        <v>58</v>
      </c>
      <c r="F100" s="31" t="s">
        <v>159</v>
      </c>
      <c r="G100" s="34"/>
      <c r="H100" s="34" t="str">
        <f>IF(LEFT('PL1(Full)'!$F100,4)="Thôn","Thôn","Tổ")</f>
        <v>Thôn</v>
      </c>
      <c r="I100" s="35">
        <v>109</v>
      </c>
      <c r="J100" s="36">
        <v>444</v>
      </c>
      <c r="K100" s="36">
        <v>103</v>
      </c>
      <c r="L100" s="37">
        <f t="shared" si="0"/>
        <v>94.495412844036693</v>
      </c>
      <c r="M100" s="36">
        <v>1</v>
      </c>
      <c r="N100" s="38">
        <f t="shared" si="1"/>
        <v>0.91743119266055051</v>
      </c>
      <c r="O100" s="36">
        <v>1</v>
      </c>
      <c r="P100" s="38">
        <f t="shared" si="2"/>
        <v>100</v>
      </c>
      <c r="Q100" s="39" t="s">
        <v>56</v>
      </c>
      <c r="R100" s="39" t="str">
        <f t="shared" si="3"/>
        <v>X</v>
      </c>
      <c r="S100" s="34"/>
      <c r="T100" s="34" t="str">
        <f>IF('PL1(Full)'!$N100&gt;=20,"x",IF(AND('PL1(Full)'!$N100&gt;=15,'PL1(Full)'!$P100&gt;60),"x",""))</f>
        <v/>
      </c>
      <c r="U100" s="34" t="str">
        <f>IF(AND('PL1(Full)'!$H100="Thôn",'PL1(Full)'!$I100&lt;75),"x",IF(AND('PL1(Full)'!$H100="Tổ",'PL1(Full)'!$I100&lt;100),"x","-"))</f>
        <v>-</v>
      </c>
      <c r="V100" s="34" t="str">
        <f>IF(AND('PL1(Full)'!$H100="Thôn",'PL1(Full)'!$I100&lt;140),"x",IF(AND('PL1(Full)'!$H100="Tổ",'PL1(Full)'!$I100&lt;210),"x","-"))</f>
        <v>x</v>
      </c>
      <c r="W100" s="40" t="str">
        <f t="shared" si="14"/>
        <v>Loại 2</v>
      </c>
      <c r="X100" s="34"/>
    </row>
    <row r="101" spans="1:24" ht="15.75" hidden="1" customHeight="1">
      <c r="A101" s="30">
        <f>_xlfn.AGGREGATE(4,7,A$6:A100)+1</f>
        <v>62</v>
      </c>
      <c r="B101" s="31" t="str">
        <f t="shared" si="13"/>
        <v>H. Ba Bể</v>
      </c>
      <c r="C101" s="31" t="str">
        <f t="shared" si="22"/>
        <v>X. Khang Ninh</v>
      </c>
      <c r="D101" s="34"/>
      <c r="E101" s="34" t="s">
        <v>58</v>
      </c>
      <c r="F101" s="31" t="s">
        <v>160</v>
      </c>
      <c r="G101" s="34"/>
      <c r="H101" s="34" t="str">
        <f>IF(LEFT('PL1(Full)'!$F101,4)="Thôn","Thôn","Tổ")</f>
        <v>Thôn</v>
      </c>
      <c r="I101" s="35">
        <v>83</v>
      </c>
      <c r="J101" s="36">
        <v>366</v>
      </c>
      <c r="K101" s="36">
        <v>81</v>
      </c>
      <c r="L101" s="37">
        <f t="shared" si="0"/>
        <v>97.590361445783131</v>
      </c>
      <c r="M101" s="36">
        <v>3</v>
      </c>
      <c r="N101" s="38">
        <f t="shared" si="1"/>
        <v>3.6144578313253013</v>
      </c>
      <c r="O101" s="36">
        <v>3</v>
      </c>
      <c r="P101" s="38">
        <f t="shared" si="2"/>
        <v>100</v>
      </c>
      <c r="Q101" s="39" t="s">
        <v>150</v>
      </c>
      <c r="R101" s="39" t="str">
        <f t="shared" si="3"/>
        <v>X</v>
      </c>
      <c r="S101" s="34"/>
      <c r="T101" s="34" t="str">
        <f>IF('PL1(Full)'!$N101&gt;=20,"x",IF(AND('PL1(Full)'!$N101&gt;=15,'PL1(Full)'!$P101&gt;60),"x",""))</f>
        <v/>
      </c>
      <c r="U101" s="34" t="str">
        <f>IF(AND('PL1(Full)'!$H101="Thôn",'PL1(Full)'!$I101&lt;75),"x",IF(AND('PL1(Full)'!$H101="Tổ",'PL1(Full)'!$I101&lt;100),"x","-"))</f>
        <v>-</v>
      </c>
      <c r="V101" s="34" t="str">
        <f>IF(AND('PL1(Full)'!$H101="Thôn",'PL1(Full)'!$I101&lt;140),"x",IF(AND('PL1(Full)'!$H101="Tổ",'PL1(Full)'!$I101&lt;210),"x","-"))</f>
        <v>x</v>
      </c>
      <c r="W101" s="40" t="str">
        <f t="shared" si="14"/>
        <v>Loại 3</v>
      </c>
      <c r="X101" s="34"/>
    </row>
    <row r="102" spans="1:24" ht="15.75" customHeight="1">
      <c r="A102" s="30">
        <f>_xlfn.AGGREGATE(4,7,A$6:A101)+1</f>
        <v>62</v>
      </c>
      <c r="B102" s="31" t="str">
        <f t="shared" si="13"/>
        <v>H. Ba Bể</v>
      </c>
      <c r="C102" s="31" t="str">
        <f t="shared" si="22"/>
        <v>X. Khang Ninh</v>
      </c>
      <c r="D102" s="34"/>
      <c r="E102" s="34" t="s">
        <v>58</v>
      </c>
      <c r="F102" s="31" t="s">
        <v>161</v>
      </c>
      <c r="G102" s="34"/>
      <c r="H102" s="34" t="str">
        <f>IF(LEFT('PL1(Full)'!$F102,4)="Thôn","Thôn","Tổ")</f>
        <v>Thôn</v>
      </c>
      <c r="I102" s="35">
        <v>47</v>
      </c>
      <c r="J102" s="36">
        <v>227</v>
      </c>
      <c r="K102" s="36">
        <v>44</v>
      </c>
      <c r="L102" s="37">
        <f t="shared" si="0"/>
        <v>93.61702127659575</v>
      </c>
      <c r="M102" s="36">
        <v>2</v>
      </c>
      <c r="N102" s="38">
        <f t="shared" si="1"/>
        <v>4.2553191489361701</v>
      </c>
      <c r="O102" s="36">
        <v>2</v>
      </c>
      <c r="P102" s="38">
        <f t="shared" si="2"/>
        <v>100</v>
      </c>
      <c r="Q102" s="39" t="s">
        <v>158</v>
      </c>
      <c r="R102" s="39" t="str">
        <f t="shared" si="3"/>
        <v>X</v>
      </c>
      <c r="S102" s="34"/>
      <c r="T102" s="34" t="str">
        <f>IF('PL1(Full)'!$N102&gt;=20,"x",IF(AND('PL1(Full)'!$N102&gt;=15,'PL1(Full)'!$P102&gt;60),"x",""))</f>
        <v/>
      </c>
      <c r="U102" s="34" t="str">
        <f>IF(AND('PL1(Full)'!$H102="Thôn",'PL1(Full)'!$I102&lt;75),"x",IF(AND('PL1(Full)'!$H102="Tổ",'PL1(Full)'!$I102&lt;100),"x","-"))</f>
        <v>x</v>
      </c>
      <c r="V102" s="34" t="str">
        <f>IF(AND('PL1(Full)'!$H102="Thôn",'PL1(Full)'!$I102&lt;140),"x",IF(AND('PL1(Full)'!$H102="Tổ",'PL1(Full)'!$I102&lt;210),"x","-"))</f>
        <v>x</v>
      </c>
      <c r="W102" s="40" t="str">
        <f t="shared" si="14"/>
        <v>Loại 3</v>
      </c>
      <c r="X102" s="34"/>
    </row>
    <row r="103" spans="1:24" ht="15.75" customHeight="1">
      <c r="A103" s="30">
        <f>_xlfn.AGGREGATE(4,7,A$6:A102)+1</f>
        <v>63</v>
      </c>
      <c r="B103" s="31" t="str">
        <f t="shared" si="13"/>
        <v>H. Ba Bể</v>
      </c>
      <c r="C103" s="31" t="str">
        <f t="shared" si="22"/>
        <v>X. Khang Ninh</v>
      </c>
      <c r="D103" s="34"/>
      <c r="E103" s="34" t="s">
        <v>58</v>
      </c>
      <c r="F103" s="31" t="s">
        <v>162</v>
      </c>
      <c r="G103" s="34"/>
      <c r="H103" s="34" t="str">
        <f>IF(LEFT('PL1(Full)'!$F103,4)="Thôn","Thôn","Tổ")</f>
        <v>Thôn</v>
      </c>
      <c r="I103" s="35">
        <v>74</v>
      </c>
      <c r="J103" s="36">
        <v>323</v>
      </c>
      <c r="K103" s="36">
        <v>72</v>
      </c>
      <c r="L103" s="37">
        <f t="shared" si="0"/>
        <v>97.297297297297291</v>
      </c>
      <c r="M103" s="36">
        <v>3</v>
      </c>
      <c r="N103" s="38">
        <f t="shared" si="1"/>
        <v>4.0540540540540544</v>
      </c>
      <c r="O103" s="36">
        <v>3</v>
      </c>
      <c r="P103" s="38">
        <f t="shared" si="2"/>
        <v>100</v>
      </c>
      <c r="Q103" s="39" t="s">
        <v>56</v>
      </c>
      <c r="R103" s="39" t="str">
        <f t="shared" si="3"/>
        <v>X</v>
      </c>
      <c r="S103" s="34"/>
      <c r="T103" s="34" t="str">
        <f>IF('PL1(Full)'!$N103&gt;=20,"x",IF(AND('PL1(Full)'!$N103&gt;=15,'PL1(Full)'!$P103&gt;60),"x",""))</f>
        <v/>
      </c>
      <c r="U103" s="34" t="str">
        <f>IF(AND('PL1(Full)'!$H103="Thôn",'PL1(Full)'!$I103&lt;75),"x",IF(AND('PL1(Full)'!$H103="Tổ",'PL1(Full)'!$I103&lt;100),"x","-"))</f>
        <v>x</v>
      </c>
      <c r="V103" s="34" t="str">
        <f>IF(AND('PL1(Full)'!$H103="Thôn",'PL1(Full)'!$I103&lt;140),"x",IF(AND('PL1(Full)'!$H103="Tổ",'PL1(Full)'!$I103&lt;210),"x","-"))</f>
        <v>x</v>
      </c>
      <c r="W103" s="40" t="str">
        <f t="shared" si="14"/>
        <v>Loại 3</v>
      </c>
      <c r="X103" s="34"/>
    </row>
    <row r="104" spans="1:24" ht="15.75" customHeight="1">
      <c r="A104" s="30">
        <f>_xlfn.AGGREGATE(4,7,A$6:A103)+1</f>
        <v>64</v>
      </c>
      <c r="B104" s="31" t="str">
        <f t="shared" si="13"/>
        <v>H. Ba Bể</v>
      </c>
      <c r="C104" s="31" t="str">
        <f t="shared" si="22"/>
        <v>X. Khang Ninh</v>
      </c>
      <c r="D104" s="34"/>
      <c r="E104" s="34" t="s">
        <v>58</v>
      </c>
      <c r="F104" s="31" t="s">
        <v>163</v>
      </c>
      <c r="G104" s="34"/>
      <c r="H104" s="34" t="str">
        <f>IF(LEFT('PL1(Full)'!$F104,4)="Thôn","Thôn","Tổ")</f>
        <v>Thôn</v>
      </c>
      <c r="I104" s="35">
        <v>66</v>
      </c>
      <c r="J104" s="36">
        <v>326</v>
      </c>
      <c r="K104" s="36">
        <v>65</v>
      </c>
      <c r="L104" s="37">
        <f t="shared" si="0"/>
        <v>98.484848484848484</v>
      </c>
      <c r="M104" s="36">
        <v>25</v>
      </c>
      <c r="N104" s="38">
        <f t="shared" si="1"/>
        <v>37.878787878787875</v>
      </c>
      <c r="O104" s="36">
        <v>25</v>
      </c>
      <c r="P104" s="38">
        <f t="shared" si="2"/>
        <v>100</v>
      </c>
      <c r="Q104" s="39" t="s">
        <v>158</v>
      </c>
      <c r="R104" s="39" t="str">
        <f t="shared" si="3"/>
        <v>X</v>
      </c>
      <c r="S104" s="34" t="s">
        <v>60</v>
      </c>
      <c r="T104" s="34" t="str">
        <f>IF('PL1(Full)'!$N104&gt;=20,"x",IF(AND('PL1(Full)'!$N104&gt;=15,'PL1(Full)'!$P104&gt;60),"x",""))</f>
        <v>x</v>
      </c>
      <c r="U104" s="34" t="str">
        <f>IF(AND('PL1(Full)'!$H104="Thôn",'PL1(Full)'!$I104&lt;75),"x",IF(AND('PL1(Full)'!$H104="Tổ",'PL1(Full)'!$I104&lt;100),"x","-"))</f>
        <v>x</v>
      </c>
      <c r="V104" s="34" t="str">
        <f>IF(AND('PL1(Full)'!$H104="Thôn",'PL1(Full)'!$I104&lt;140),"x",IF(AND('PL1(Full)'!$H104="Tổ",'PL1(Full)'!$I104&lt;210),"x","-"))</f>
        <v>x</v>
      </c>
      <c r="W104" s="40" t="str">
        <f t="shared" si="14"/>
        <v>Loại 3</v>
      </c>
      <c r="X104" s="34"/>
    </row>
    <row r="105" spans="1:24" ht="15.75" hidden="1" customHeight="1">
      <c r="A105" s="41">
        <f>_xlfn.AGGREGATE(4,7,A$6:A104)+1</f>
        <v>65</v>
      </c>
      <c r="B105" s="42" t="str">
        <f t="shared" si="13"/>
        <v>H. Ba Bể</v>
      </c>
      <c r="C105" s="42" t="str">
        <f t="shared" si="22"/>
        <v>X. Khang Ninh</v>
      </c>
      <c r="D105" s="50"/>
      <c r="E105" s="50" t="s">
        <v>58</v>
      </c>
      <c r="F105" s="42" t="s">
        <v>108</v>
      </c>
      <c r="G105" s="50"/>
      <c r="H105" s="50" t="str">
        <f>IF(LEFT('PL1(Full)'!$F105,4)="Thôn","Thôn","Tổ")</f>
        <v>Thôn</v>
      </c>
      <c r="I105" s="45">
        <v>101</v>
      </c>
      <c r="J105" s="46">
        <v>468</v>
      </c>
      <c r="K105" s="46">
        <v>100</v>
      </c>
      <c r="L105" s="47">
        <f t="shared" si="0"/>
        <v>99.009900990099013</v>
      </c>
      <c r="M105" s="46">
        <v>1</v>
      </c>
      <c r="N105" s="48">
        <f t="shared" si="1"/>
        <v>0.99009900990099009</v>
      </c>
      <c r="O105" s="46">
        <v>1</v>
      </c>
      <c r="P105" s="48">
        <f t="shared" si="2"/>
        <v>100</v>
      </c>
      <c r="Q105" s="49" t="s">
        <v>150</v>
      </c>
      <c r="R105" s="49" t="str">
        <f t="shared" si="3"/>
        <v>X</v>
      </c>
      <c r="S105" s="50"/>
      <c r="T105" s="50" t="str">
        <f>IF('PL1(Full)'!$N105&gt;=20,"x",IF(AND('PL1(Full)'!$N105&gt;=15,'PL1(Full)'!$P105&gt;60),"x",""))</f>
        <v/>
      </c>
      <c r="U105" s="50" t="str">
        <f>IF(AND('PL1(Full)'!$H105="Thôn",'PL1(Full)'!$I105&lt;75),"x",IF(AND('PL1(Full)'!$H105="Tổ",'PL1(Full)'!$I105&lt;100),"x","-"))</f>
        <v>-</v>
      </c>
      <c r="V105" s="34" t="str">
        <f>IF(AND('PL1(Full)'!$H105="Thôn",'PL1(Full)'!$I105&lt;140),"x",IF(AND('PL1(Full)'!$H105="Tổ",'PL1(Full)'!$I105&lt;210),"x","-"))</f>
        <v>x</v>
      </c>
      <c r="W105" s="51" t="str">
        <f t="shared" si="14"/>
        <v>Loại 2</v>
      </c>
      <c r="X105" s="50"/>
    </row>
    <row r="106" spans="1:24" ht="15.75" customHeight="1">
      <c r="A106" s="52">
        <f>_xlfn.AGGREGATE(4,7,A$6:A105)+1</f>
        <v>65</v>
      </c>
      <c r="B106" s="14" t="str">
        <f t="shared" si="13"/>
        <v>H. Ba Bể</v>
      </c>
      <c r="C106" s="14" t="s">
        <v>164</v>
      </c>
      <c r="D106" s="15" t="s">
        <v>58</v>
      </c>
      <c r="E106" s="16" t="s">
        <v>58</v>
      </c>
      <c r="F106" s="65" t="s">
        <v>165</v>
      </c>
      <c r="G106" s="18"/>
      <c r="H106" s="18" t="str">
        <f>IF(LEFT('PL1(Full)'!$F106,4)="Thôn","Thôn","Tổ")</f>
        <v>Thôn</v>
      </c>
      <c r="I106" s="20">
        <v>24</v>
      </c>
      <c r="J106" s="19">
        <v>105</v>
      </c>
      <c r="K106" s="19">
        <v>24</v>
      </c>
      <c r="L106" s="21">
        <f t="shared" si="0"/>
        <v>100</v>
      </c>
      <c r="M106" s="19">
        <v>2</v>
      </c>
      <c r="N106" s="22">
        <f t="shared" si="1"/>
        <v>8.3333333333333339</v>
      </c>
      <c r="O106" s="19">
        <v>2</v>
      </c>
      <c r="P106" s="22">
        <f t="shared" si="2"/>
        <v>100</v>
      </c>
      <c r="Q106" s="23" t="s">
        <v>154</v>
      </c>
      <c r="R106" s="24" t="str">
        <f t="shared" si="3"/>
        <v>X</v>
      </c>
      <c r="S106" s="25"/>
      <c r="T106" s="26" t="str">
        <f>IF('PL1(Full)'!$N106&gt;=20,"x",IF(AND('PL1(Full)'!$N106&gt;=15,'PL1(Full)'!$P106&gt;60),"x",""))</f>
        <v/>
      </c>
      <c r="U106" s="27" t="str">
        <f>IF(AND('PL1(Full)'!$H106="Thôn",'PL1(Full)'!$I106&lt;75),"x",IF(AND('PL1(Full)'!$H106="Tổ",'PL1(Full)'!$I106&lt;100),"x","-"))</f>
        <v>x</v>
      </c>
      <c r="V106" s="28" t="str">
        <f>IF(AND('PL1(Full)'!$H106="Thôn",'PL1(Full)'!$I106&lt;140),"x",IF(AND('PL1(Full)'!$H106="Tổ",'PL1(Full)'!$I106&lt;210),"x","-"))</f>
        <v>x</v>
      </c>
      <c r="W106" s="29" t="str">
        <f t="shared" si="14"/>
        <v>Loại 3</v>
      </c>
      <c r="X106" s="25"/>
    </row>
    <row r="107" spans="1:24" ht="15.75" hidden="1" customHeight="1">
      <c r="A107" s="30">
        <f>_xlfn.AGGREGATE(4,7,A$6:A106)+1</f>
        <v>66</v>
      </c>
      <c r="B107" s="31" t="str">
        <f t="shared" si="13"/>
        <v>H. Ba Bể</v>
      </c>
      <c r="C107" s="31" t="str">
        <f t="shared" ref="C107:C120" si="23">C106</f>
        <v>X. Mỹ Phương</v>
      </c>
      <c r="D107" s="32"/>
      <c r="E107" s="32" t="s">
        <v>58</v>
      </c>
      <c r="F107" s="66" t="s">
        <v>166</v>
      </c>
      <c r="G107" s="32"/>
      <c r="H107" s="32" t="str">
        <f>IF(LEFT('PL1(Full)'!$F107,4)="Thôn","Thôn","Tổ")</f>
        <v>Thôn</v>
      </c>
      <c r="I107" s="36">
        <v>77</v>
      </c>
      <c r="J107" s="35">
        <v>327</v>
      </c>
      <c r="K107" s="35">
        <v>77</v>
      </c>
      <c r="L107" s="37">
        <f t="shared" si="0"/>
        <v>100</v>
      </c>
      <c r="M107" s="35">
        <v>20</v>
      </c>
      <c r="N107" s="38">
        <f t="shared" si="1"/>
        <v>25.974025974025974</v>
      </c>
      <c r="O107" s="36">
        <v>20</v>
      </c>
      <c r="P107" s="38">
        <f t="shared" si="2"/>
        <v>100</v>
      </c>
      <c r="Q107" s="39" t="s">
        <v>56</v>
      </c>
      <c r="R107" s="39" t="str">
        <f t="shared" si="3"/>
        <v>X</v>
      </c>
      <c r="S107" s="34"/>
      <c r="T107" s="34" t="str">
        <f>IF('PL1(Full)'!$N107&gt;=20,"x",IF(AND('PL1(Full)'!$N107&gt;=15,'PL1(Full)'!$P107&gt;60),"x",""))</f>
        <v>x</v>
      </c>
      <c r="U107" s="34" t="str">
        <f>IF(AND('PL1(Full)'!$H107="Thôn",'PL1(Full)'!$I107&lt;75),"x",IF(AND('PL1(Full)'!$H107="Tổ",'PL1(Full)'!$I107&lt;100),"x","-"))</f>
        <v>-</v>
      </c>
      <c r="V107" s="34" t="str">
        <f>IF(AND('PL1(Full)'!$H107="Thôn",'PL1(Full)'!$I107&lt;140),"x",IF(AND('PL1(Full)'!$H107="Tổ",'PL1(Full)'!$I107&lt;210),"x","-"))</f>
        <v>x</v>
      </c>
      <c r="W107" s="40" t="str">
        <f t="shared" si="14"/>
        <v>Loại 3</v>
      </c>
      <c r="X107" s="34"/>
    </row>
    <row r="108" spans="1:24" ht="15.75" customHeight="1">
      <c r="A108" s="30">
        <f>_xlfn.AGGREGATE(4,7,A$6:A107)+1</f>
        <v>66</v>
      </c>
      <c r="B108" s="31" t="str">
        <f t="shared" si="13"/>
        <v>H. Ba Bể</v>
      </c>
      <c r="C108" s="31" t="str">
        <f t="shared" si="23"/>
        <v>X. Mỹ Phương</v>
      </c>
      <c r="D108" s="32"/>
      <c r="E108" s="32" t="s">
        <v>58</v>
      </c>
      <c r="F108" s="66" t="s">
        <v>167</v>
      </c>
      <c r="G108" s="32"/>
      <c r="H108" s="32" t="str">
        <f>IF(LEFT('PL1(Full)'!$F108,4)="Thôn","Thôn","Tổ")</f>
        <v>Thôn</v>
      </c>
      <c r="I108" s="36">
        <v>49</v>
      </c>
      <c r="J108" s="35">
        <v>193</v>
      </c>
      <c r="K108" s="35">
        <v>49</v>
      </c>
      <c r="L108" s="37">
        <f t="shared" si="0"/>
        <v>100</v>
      </c>
      <c r="M108" s="35">
        <v>16</v>
      </c>
      <c r="N108" s="38">
        <f t="shared" si="1"/>
        <v>32.653061224489797</v>
      </c>
      <c r="O108" s="35">
        <v>16</v>
      </c>
      <c r="P108" s="38">
        <f t="shared" si="2"/>
        <v>100</v>
      </c>
      <c r="Q108" s="39" t="s">
        <v>56</v>
      </c>
      <c r="R108" s="39" t="str">
        <f t="shared" si="3"/>
        <v>X</v>
      </c>
      <c r="S108" s="34"/>
      <c r="T108" s="34" t="str">
        <f>IF('PL1(Full)'!$N108&gt;=20,"x",IF(AND('PL1(Full)'!$N108&gt;=15,'PL1(Full)'!$P108&gt;60),"x",""))</f>
        <v>x</v>
      </c>
      <c r="U108" s="34" t="str">
        <f>IF(AND('PL1(Full)'!$H108="Thôn",'PL1(Full)'!$I108&lt;75),"x",IF(AND('PL1(Full)'!$H108="Tổ",'PL1(Full)'!$I108&lt;100),"x","-"))</f>
        <v>x</v>
      </c>
      <c r="V108" s="34" t="str">
        <f>IF(AND('PL1(Full)'!$H108="Thôn",'PL1(Full)'!$I108&lt;140),"x",IF(AND('PL1(Full)'!$H108="Tổ",'PL1(Full)'!$I108&lt;210),"x","-"))</f>
        <v>x</v>
      </c>
      <c r="W108" s="40" t="str">
        <f t="shared" si="14"/>
        <v>Loại 3</v>
      </c>
      <c r="X108" s="34"/>
    </row>
    <row r="109" spans="1:24" ht="15.75" customHeight="1">
      <c r="A109" s="30">
        <f>_xlfn.AGGREGATE(4,7,A$6:A108)+1</f>
        <v>67</v>
      </c>
      <c r="B109" s="31" t="str">
        <f t="shared" si="13"/>
        <v>H. Ba Bể</v>
      </c>
      <c r="C109" s="31" t="str">
        <f t="shared" si="23"/>
        <v>X. Mỹ Phương</v>
      </c>
      <c r="D109" s="32"/>
      <c r="E109" s="32" t="s">
        <v>58</v>
      </c>
      <c r="F109" s="66" t="s">
        <v>168</v>
      </c>
      <c r="G109" s="32"/>
      <c r="H109" s="32" t="str">
        <f>IF(LEFT('PL1(Full)'!$F109,4)="Thôn","Thôn","Tổ")</f>
        <v>Thôn</v>
      </c>
      <c r="I109" s="36">
        <v>29</v>
      </c>
      <c r="J109" s="35">
        <v>105</v>
      </c>
      <c r="K109" s="35">
        <v>29</v>
      </c>
      <c r="L109" s="37">
        <f t="shared" si="0"/>
        <v>100</v>
      </c>
      <c r="M109" s="35">
        <v>29</v>
      </c>
      <c r="N109" s="38">
        <f t="shared" si="1"/>
        <v>100</v>
      </c>
      <c r="O109" s="36">
        <v>10</v>
      </c>
      <c r="P109" s="38">
        <f t="shared" si="2"/>
        <v>34.482758620689658</v>
      </c>
      <c r="Q109" s="39" t="s">
        <v>63</v>
      </c>
      <c r="R109" s="39" t="str">
        <f t="shared" si="3"/>
        <v>X</v>
      </c>
      <c r="S109" s="34" t="s">
        <v>60</v>
      </c>
      <c r="T109" s="34" t="str">
        <f>IF('PL1(Full)'!$N109&gt;=20,"x",IF(AND('PL1(Full)'!$N109&gt;=15,'PL1(Full)'!$P109&gt;60),"x",""))</f>
        <v>x</v>
      </c>
      <c r="U109" s="34" t="str">
        <f>IF(AND('PL1(Full)'!$H109="Thôn",'PL1(Full)'!$I109&lt;75),"x",IF(AND('PL1(Full)'!$H109="Tổ",'PL1(Full)'!$I109&lt;100),"x","-"))</f>
        <v>x</v>
      </c>
      <c r="V109" s="34" t="str">
        <f>IF(AND('PL1(Full)'!$H109="Thôn",'PL1(Full)'!$I109&lt;140),"x",IF(AND('PL1(Full)'!$H109="Tổ",'PL1(Full)'!$I109&lt;210),"x","-"))</f>
        <v>x</v>
      </c>
      <c r="W109" s="40" t="str">
        <f t="shared" si="14"/>
        <v>Loại 3</v>
      </c>
      <c r="X109" s="34"/>
    </row>
    <row r="110" spans="1:24" ht="15.75" customHeight="1">
      <c r="A110" s="30">
        <f>_xlfn.AGGREGATE(4,7,A$6:A109)+1</f>
        <v>68</v>
      </c>
      <c r="B110" s="31" t="str">
        <f t="shared" si="13"/>
        <v>H. Ba Bể</v>
      </c>
      <c r="C110" s="31" t="str">
        <f t="shared" si="23"/>
        <v>X. Mỹ Phương</v>
      </c>
      <c r="D110" s="32"/>
      <c r="E110" s="32" t="s">
        <v>58</v>
      </c>
      <c r="F110" s="66" t="s">
        <v>169</v>
      </c>
      <c r="G110" s="32"/>
      <c r="H110" s="32" t="str">
        <f>IF(LEFT('PL1(Full)'!$F110,4)="Thôn","Thôn","Tổ")</f>
        <v>Thôn</v>
      </c>
      <c r="I110" s="36">
        <v>73</v>
      </c>
      <c r="J110" s="35">
        <v>315</v>
      </c>
      <c r="K110" s="35">
        <v>73</v>
      </c>
      <c r="L110" s="37">
        <f t="shared" si="0"/>
        <v>100</v>
      </c>
      <c r="M110" s="35">
        <v>10</v>
      </c>
      <c r="N110" s="38">
        <f t="shared" si="1"/>
        <v>13.698630136986301</v>
      </c>
      <c r="O110" s="36">
        <v>10</v>
      </c>
      <c r="P110" s="38">
        <f t="shared" si="2"/>
        <v>100</v>
      </c>
      <c r="Q110" s="39" t="s">
        <v>56</v>
      </c>
      <c r="R110" s="39" t="str">
        <f t="shared" si="3"/>
        <v>X</v>
      </c>
      <c r="S110" s="34"/>
      <c r="T110" s="34" t="str">
        <f>IF('PL1(Full)'!$N110&gt;=20,"x",IF(AND('PL1(Full)'!$N110&gt;=15,'PL1(Full)'!$P110&gt;60),"x",""))</f>
        <v/>
      </c>
      <c r="U110" s="34" t="str">
        <f>IF(AND('PL1(Full)'!$H110="Thôn",'PL1(Full)'!$I110&lt;75),"x",IF(AND('PL1(Full)'!$H110="Tổ",'PL1(Full)'!$I110&lt;100),"x","-"))</f>
        <v>x</v>
      </c>
      <c r="V110" s="34" t="str">
        <f>IF(AND('PL1(Full)'!$H110="Thôn",'PL1(Full)'!$I110&lt;140),"x",IF(AND('PL1(Full)'!$H110="Tổ",'PL1(Full)'!$I110&lt;210),"x","-"))</f>
        <v>x</v>
      </c>
      <c r="W110" s="40" t="str">
        <f t="shared" si="14"/>
        <v>Loại 3</v>
      </c>
      <c r="X110" s="34"/>
    </row>
    <row r="111" spans="1:24" ht="15.75" customHeight="1">
      <c r="A111" s="30">
        <f>_xlfn.AGGREGATE(4,7,A$6:A110)+1</f>
        <v>69</v>
      </c>
      <c r="B111" s="31" t="str">
        <f t="shared" si="13"/>
        <v>H. Ba Bể</v>
      </c>
      <c r="C111" s="31" t="str">
        <f t="shared" si="23"/>
        <v>X. Mỹ Phương</v>
      </c>
      <c r="D111" s="32"/>
      <c r="E111" s="32" t="s">
        <v>58</v>
      </c>
      <c r="F111" s="66" t="s">
        <v>170</v>
      </c>
      <c r="G111" s="32"/>
      <c r="H111" s="32" t="str">
        <f>IF(LEFT('PL1(Full)'!$F111,4)="Thôn","Thôn","Tổ")</f>
        <v>Thôn</v>
      </c>
      <c r="I111" s="36">
        <v>57</v>
      </c>
      <c r="J111" s="35">
        <v>219</v>
      </c>
      <c r="K111" s="35">
        <v>53</v>
      </c>
      <c r="L111" s="37">
        <f t="shared" si="0"/>
        <v>92.982456140350877</v>
      </c>
      <c r="M111" s="35">
        <v>12</v>
      </c>
      <c r="N111" s="38">
        <f t="shared" si="1"/>
        <v>21.05263157894737</v>
      </c>
      <c r="O111" s="36">
        <v>12</v>
      </c>
      <c r="P111" s="38">
        <f t="shared" si="2"/>
        <v>100</v>
      </c>
      <c r="Q111" s="39" t="s">
        <v>56</v>
      </c>
      <c r="R111" s="39" t="str">
        <f t="shared" si="3"/>
        <v>X</v>
      </c>
      <c r="S111" s="34" t="s">
        <v>60</v>
      </c>
      <c r="T111" s="34" t="str">
        <f>IF('PL1(Full)'!$N111&gt;=20,"x",IF(AND('PL1(Full)'!$N111&gt;=15,'PL1(Full)'!$P111&gt;60),"x",""))</f>
        <v>x</v>
      </c>
      <c r="U111" s="34" t="str">
        <f>IF(AND('PL1(Full)'!$H111="Thôn",'PL1(Full)'!$I111&lt;75),"x",IF(AND('PL1(Full)'!$H111="Tổ",'PL1(Full)'!$I111&lt;100),"x","-"))</f>
        <v>x</v>
      </c>
      <c r="V111" s="34" t="str">
        <f>IF(AND('PL1(Full)'!$H111="Thôn",'PL1(Full)'!$I111&lt;140),"x",IF(AND('PL1(Full)'!$H111="Tổ",'PL1(Full)'!$I111&lt;210),"x","-"))</f>
        <v>x</v>
      </c>
      <c r="W111" s="40" t="str">
        <f t="shared" si="14"/>
        <v>Loại 3</v>
      </c>
      <c r="X111" s="34"/>
    </row>
    <row r="112" spans="1:24" ht="15.75" customHeight="1">
      <c r="A112" s="30">
        <f>_xlfn.AGGREGATE(4,7,A$6:A111)+1</f>
        <v>70</v>
      </c>
      <c r="B112" s="31" t="str">
        <f t="shared" si="13"/>
        <v>H. Ba Bể</v>
      </c>
      <c r="C112" s="31" t="str">
        <f t="shared" si="23"/>
        <v>X. Mỹ Phương</v>
      </c>
      <c r="D112" s="32"/>
      <c r="E112" s="32" t="s">
        <v>58</v>
      </c>
      <c r="F112" s="66" t="s">
        <v>119</v>
      </c>
      <c r="G112" s="32"/>
      <c r="H112" s="32" t="str">
        <f>IF(LEFT('PL1(Full)'!$F112,4)="Thôn","Thôn","Tổ")</f>
        <v>Thôn</v>
      </c>
      <c r="I112" s="36">
        <v>54</v>
      </c>
      <c r="J112" s="35">
        <v>234</v>
      </c>
      <c r="K112" s="35">
        <v>50</v>
      </c>
      <c r="L112" s="37">
        <f t="shared" si="0"/>
        <v>92.592592592592595</v>
      </c>
      <c r="M112" s="35">
        <v>22</v>
      </c>
      <c r="N112" s="38">
        <f t="shared" si="1"/>
        <v>40.74074074074074</v>
      </c>
      <c r="O112" s="35">
        <v>22</v>
      </c>
      <c r="P112" s="38">
        <f t="shared" si="2"/>
        <v>100</v>
      </c>
      <c r="Q112" s="39" t="s">
        <v>56</v>
      </c>
      <c r="R112" s="39" t="str">
        <f t="shared" si="3"/>
        <v>X</v>
      </c>
      <c r="S112" s="34" t="s">
        <v>60</v>
      </c>
      <c r="T112" s="34" t="str">
        <f>IF('PL1(Full)'!$N112&gt;=20,"x",IF(AND('PL1(Full)'!$N112&gt;=15,'PL1(Full)'!$P112&gt;60),"x",""))</f>
        <v>x</v>
      </c>
      <c r="U112" s="34" t="str">
        <f>IF(AND('PL1(Full)'!$H112="Thôn",'PL1(Full)'!$I112&lt;75),"x",IF(AND('PL1(Full)'!$H112="Tổ",'PL1(Full)'!$I112&lt;100),"x","-"))</f>
        <v>x</v>
      </c>
      <c r="V112" s="34" t="str">
        <f>IF(AND('PL1(Full)'!$H112="Thôn",'PL1(Full)'!$I112&lt;140),"x",IF(AND('PL1(Full)'!$H112="Tổ",'PL1(Full)'!$I112&lt;210),"x","-"))</f>
        <v>x</v>
      </c>
      <c r="W112" s="40" t="str">
        <f t="shared" si="14"/>
        <v>Loại 3</v>
      </c>
      <c r="X112" s="34"/>
    </row>
    <row r="113" spans="1:24" ht="15.75" customHeight="1">
      <c r="A113" s="30">
        <f>_xlfn.AGGREGATE(4,7,A$6:A112)+1</f>
        <v>71</v>
      </c>
      <c r="B113" s="31" t="str">
        <f t="shared" si="13"/>
        <v>H. Ba Bể</v>
      </c>
      <c r="C113" s="31" t="str">
        <f t="shared" si="23"/>
        <v>X. Mỹ Phương</v>
      </c>
      <c r="D113" s="32"/>
      <c r="E113" s="32" t="s">
        <v>58</v>
      </c>
      <c r="F113" s="66" t="s">
        <v>171</v>
      </c>
      <c r="G113" s="32"/>
      <c r="H113" s="32" t="str">
        <f>IF(LEFT('PL1(Full)'!$F113,4)="Thôn","Thôn","Tổ")</f>
        <v>Thôn</v>
      </c>
      <c r="I113" s="36">
        <v>68</v>
      </c>
      <c r="J113" s="35">
        <v>309</v>
      </c>
      <c r="K113" s="35">
        <v>68</v>
      </c>
      <c r="L113" s="37">
        <f t="shared" si="0"/>
        <v>100</v>
      </c>
      <c r="M113" s="35">
        <v>51</v>
      </c>
      <c r="N113" s="38">
        <f t="shared" si="1"/>
        <v>75</v>
      </c>
      <c r="O113" s="36">
        <v>51</v>
      </c>
      <c r="P113" s="38">
        <f t="shared" si="2"/>
        <v>100</v>
      </c>
      <c r="Q113" s="39" t="s">
        <v>56</v>
      </c>
      <c r="R113" s="39" t="str">
        <f t="shared" si="3"/>
        <v>X</v>
      </c>
      <c r="S113" s="34" t="s">
        <v>60</v>
      </c>
      <c r="T113" s="34" t="str">
        <f>IF('PL1(Full)'!$N113&gt;=20,"x",IF(AND('PL1(Full)'!$N113&gt;=15,'PL1(Full)'!$P113&gt;60),"x",""))</f>
        <v>x</v>
      </c>
      <c r="U113" s="34" t="str">
        <f>IF(AND('PL1(Full)'!$H113="Thôn",'PL1(Full)'!$I113&lt;75),"x",IF(AND('PL1(Full)'!$H113="Tổ",'PL1(Full)'!$I113&lt;100),"x","-"))</f>
        <v>x</v>
      </c>
      <c r="V113" s="34" t="str">
        <f>IF(AND('PL1(Full)'!$H113="Thôn",'PL1(Full)'!$I113&lt;140),"x",IF(AND('PL1(Full)'!$H113="Tổ",'PL1(Full)'!$I113&lt;210),"x","-"))</f>
        <v>x</v>
      </c>
      <c r="W113" s="40" t="str">
        <f t="shared" si="14"/>
        <v>Loại 3</v>
      </c>
      <c r="X113" s="34"/>
    </row>
    <row r="114" spans="1:24" ht="15.75" customHeight="1">
      <c r="A114" s="30">
        <f>_xlfn.AGGREGATE(4,7,A$6:A113)+1</f>
        <v>72</v>
      </c>
      <c r="B114" s="31" t="str">
        <f t="shared" si="13"/>
        <v>H. Ba Bể</v>
      </c>
      <c r="C114" s="31" t="str">
        <f t="shared" si="23"/>
        <v>X. Mỹ Phương</v>
      </c>
      <c r="D114" s="32"/>
      <c r="E114" s="32" t="s">
        <v>58</v>
      </c>
      <c r="F114" s="66" t="s">
        <v>172</v>
      </c>
      <c r="G114" s="32"/>
      <c r="H114" s="32" t="str">
        <f>IF(LEFT('PL1(Full)'!$F114,4)="Thôn","Thôn","Tổ")</f>
        <v>Thôn</v>
      </c>
      <c r="I114" s="36">
        <v>71</v>
      </c>
      <c r="J114" s="35">
        <v>71</v>
      </c>
      <c r="K114" s="35">
        <v>64</v>
      </c>
      <c r="L114" s="37">
        <f t="shared" si="0"/>
        <v>90.140845070422529</v>
      </c>
      <c r="M114" s="35">
        <v>11</v>
      </c>
      <c r="N114" s="38">
        <f t="shared" si="1"/>
        <v>15.492957746478874</v>
      </c>
      <c r="O114" s="35">
        <v>11</v>
      </c>
      <c r="P114" s="38">
        <f t="shared" si="2"/>
        <v>100</v>
      </c>
      <c r="Q114" s="39" t="s">
        <v>56</v>
      </c>
      <c r="R114" s="39" t="str">
        <f t="shared" si="3"/>
        <v>X</v>
      </c>
      <c r="S114" s="34"/>
      <c r="T114" s="34" t="str">
        <f>IF('PL1(Full)'!$N114&gt;=20,"x",IF(AND('PL1(Full)'!$N114&gt;=15,'PL1(Full)'!$P114&gt;60),"x",""))</f>
        <v>x</v>
      </c>
      <c r="U114" s="34" t="str">
        <f>IF(AND('PL1(Full)'!$H114="Thôn",'PL1(Full)'!$I114&lt;75),"x",IF(AND('PL1(Full)'!$H114="Tổ",'PL1(Full)'!$I114&lt;100),"x","-"))</f>
        <v>x</v>
      </c>
      <c r="V114" s="34" t="str">
        <f>IF(AND('PL1(Full)'!$H114="Thôn",'PL1(Full)'!$I114&lt;140),"x",IF(AND('PL1(Full)'!$H114="Tổ",'PL1(Full)'!$I114&lt;210),"x","-"))</f>
        <v>x</v>
      </c>
      <c r="W114" s="40" t="str">
        <f t="shared" si="14"/>
        <v>Loại 3</v>
      </c>
      <c r="X114" s="34"/>
    </row>
    <row r="115" spans="1:24" ht="15.75" hidden="1" customHeight="1">
      <c r="A115" s="30">
        <f>_xlfn.AGGREGATE(4,7,A$6:A114)+1</f>
        <v>73</v>
      </c>
      <c r="B115" s="31" t="str">
        <f t="shared" si="13"/>
        <v>H. Ba Bể</v>
      </c>
      <c r="C115" s="31" t="str">
        <f t="shared" si="23"/>
        <v>X. Mỹ Phương</v>
      </c>
      <c r="D115" s="32"/>
      <c r="E115" s="32" t="s">
        <v>58</v>
      </c>
      <c r="F115" s="66" t="s">
        <v>173</v>
      </c>
      <c r="G115" s="32"/>
      <c r="H115" s="32" t="str">
        <f>IF(LEFT('PL1(Full)'!$F115,4)="Thôn","Thôn","Tổ")</f>
        <v>Thôn</v>
      </c>
      <c r="I115" s="36">
        <v>86</v>
      </c>
      <c r="J115" s="35">
        <v>385</v>
      </c>
      <c r="K115" s="35">
        <v>86</v>
      </c>
      <c r="L115" s="37">
        <f t="shared" si="0"/>
        <v>100</v>
      </c>
      <c r="M115" s="35">
        <v>20</v>
      </c>
      <c r="N115" s="38">
        <f t="shared" si="1"/>
        <v>23.255813953488371</v>
      </c>
      <c r="O115" s="36">
        <v>20</v>
      </c>
      <c r="P115" s="38">
        <f t="shared" si="2"/>
        <v>100</v>
      </c>
      <c r="Q115" s="39" t="s">
        <v>56</v>
      </c>
      <c r="R115" s="39" t="str">
        <f t="shared" si="3"/>
        <v>X</v>
      </c>
      <c r="S115" s="34"/>
      <c r="T115" s="34" t="str">
        <f>IF('PL1(Full)'!$N115&gt;=20,"x",IF(AND('PL1(Full)'!$N115&gt;=15,'PL1(Full)'!$P115&gt;60),"x",""))</f>
        <v>x</v>
      </c>
      <c r="U115" s="34" t="str">
        <f>IF(AND('PL1(Full)'!$H115="Thôn",'PL1(Full)'!$I115&lt;75),"x",IF(AND('PL1(Full)'!$H115="Tổ",'PL1(Full)'!$I115&lt;100),"x","-"))</f>
        <v>-</v>
      </c>
      <c r="V115" s="34" t="str">
        <f>IF(AND('PL1(Full)'!$H115="Thôn",'PL1(Full)'!$I115&lt;140),"x",IF(AND('PL1(Full)'!$H115="Tổ",'PL1(Full)'!$I115&lt;210),"x","-"))</f>
        <v>x</v>
      </c>
      <c r="W115" s="40" t="str">
        <f t="shared" si="14"/>
        <v>Loại 3</v>
      </c>
      <c r="X115" s="34"/>
    </row>
    <row r="116" spans="1:24" ht="15.75" hidden="1" customHeight="1">
      <c r="A116" s="30">
        <f>_xlfn.AGGREGATE(4,7,A$6:A115)+1</f>
        <v>73</v>
      </c>
      <c r="B116" s="31" t="str">
        <f t="shared" si="13"/>
        <v>H. Ba Bể</v>
      </c>
      <c r="C116" s="31" t="str">
        <f t="shared" si="23"/>
        <v>X. Mỹ Phương</v>
      </c>
      <c r="D116" s="32"/>
      <c r="E116" s="32" t="s">
        <v>58</v>
      </c>
      <c r="F116" s="66" t="s">
        <v>174</v>
      </c>
      <c r="G116" s="32"/>
      <c r="H116" s="32" t="str">
        <f>IF(LEFT('PL1(Full)'!$F116,4)="Thôn","Thôn","Tổ")</f>
        <v>Thôn</v>
      </c>
      <c r="I116" s="36">
        <v>87</v>
      </c>
      <c r="J116" s="35">
        <v>393</v>
      </c>
      <c r="K116" s="35">
        <v>82</v>
      </c>
      <c r="L116" s="37">
        <f t="shared" si="0"/>
        <v>94.252873563218387</v>
      </c>
      <c r="M116" s="35">
        <v>34</v>
      </c>
      <c r="N116" s="38">
        <f t="shared" si="1"/>
        <v>39.080459770114942</v>
      </c>
      <c r="O116" s="36">
        <v>34</v>
      </c>
      <c r="P116" s="38">
        <f t="shared" si="2"/>
        <v>100</v>
      </c>
      <c r="Q116" s="39" t="s">
        <v>56</v>
      </c>
      <c r="R116" s="39" t="str">
        <f t="shared" si="3"/>
        <v>X</v>
      </c>
      <c r="S116" s="34"/>
      <c r="T116" s="34" t="str">
        <f>IF('PL1(Full)'!$N116&gt;=20,"x",IF(AND('PL1(Full)'!$N116&gt;=15,'PL1(Full)'!$P116&gt;60),"x",""))</f>
        <v>x</v>
      </c>
      <c r="U116" s="34" t="str">
        <f>IF(AND('PL1(Full)'!$H116="Thôn",'PL1(Full)'!$I116&lt;75),"x",IF(AND('PL1(Full)'!$H116="Tổ",'PL1(Full)'!$I116&lt;100),"x","-"))</f>
        <v>-</v>
      </c>
      <c r="V116" s="34" t="str">
        <f>IF(AND('PL1(Full)'!$H116="Thôn",'PL1(Full)'!$I116&lt;140),"x",IF(AND('PL1(Full)'!$H116="Tổ",'PL1(Full)'!$I116&lt;210),"x","-"))</f>
        <v>x</v>
      </c>
      <c r="W116" s="40" t="str">
        <f t="shared" si="14"/>
        <v>Loại 3</v>
      </c>
      <c r="X116" s="34"/>
    </row>
    <row r="117" spans="1:24" ht="15.75" hidden="1" customHeight="1">
      <c r="A117" s="30">
        <f>_xlfn.AGGREGATE(4,7,A$6:A116)+1</f>
        <v>73</v>
      </c>
      <c r="B117" s="31" t="str">
        <f t="shared" si="13"/>
        <v>H. Ba Bể</v>
      </c>
      <c r="C117" s="31" t="str">
        <f t="shared" si="23"/>
        <v>X. Mỹ Phương</v>
      </c>
      <c r="D117" s="32"/>
      <c r="E117" s="32" t="s">
        <v>58</v>
      </c>
      <c r="F117" s="66" t="s">
        <v>175</v>
      </c>
      <c r="G117" s="32"/>
      <c r="H117" s="32" t="str">
        <f>IF(LEFT('PL1(Full)'!$F117,4)="Thôn","Thôn","Tổ")</f>
        <v>Thôn</v>
      </c>
      <c r="I117" s="36">
        <v>99</v>
      </c>
      <c r="J117" s="35">
        <v>419</v>
      </c>
      <c r="K117" s="35">
        <v>95</v>
      </c>
      <c r="L117" s="37">
        <f t="shared" si="0"/>
        <v>95.959595959595958</v>
      </c>
      <c r="M117" s="35">
        <v>31</v>
      </c>
      <c r="N117" s="38">
        <f t="shared" si="1"/>
        <v>31.313131313131311</v>
      </c>
      <c r="O117" s="36">
        <v>31</v>
      </c>
      <c r="P117" s="38">
        <f t="shared" si="2"/>
        <v>100</v>
      </c>
      <c r="Q117" s="39" t="s">
        <v>49</v>
      </c>
      <c r="R117" s="39" t="str">
        <f t="shared" si="3"/>
        <v>X</v>
      </c>
      <c r="S117" s="34" t="s">
        <v>60</v>
      </c>
      <c r="T117" s="34" t="str">
        <f>IF('PL1(Full)'!$N117&gt;=20,"x",IF(AND('PL1(Full)'!$N117&gt;=15,'PL1(Full)'!$P117&gt;60),"x",""))</f>
        <v>x</v>
      </c>
      <c r="U117" s="34" t="str">
        <f>IF(AND('PL1(Full)'!$H117="Thôn",'PL1(Full)'!$I117&lt;75),"x",IF(AND('PL1(Full)'!$H117="Tổ",'PL1(Full)'!$I117&lt;100),"x","-"))</f>
        <v>-</v>
      </c>
      <c r="V117" s="34" t="str">
        <f>IF(AND('PL1(Full)'!$H117="Thôn",'PL1(Full)'!$I117&lt;140),"x",IF(AND('PL1(Full)'!$H117="Tổ",'PL1(Full)'!$I117&lt;210),"x","-"))</f>
        <v>x</v>
      </c>
      <c r="W117" s="40" t="str">
        <f t="shared" si="14"/>
        <v>Loại 3</v>
      </c>
      <c r="X117" s="34"/>
    </row>
    <row r="118" spans="1:24" ht="15.75" hidden="1" customHeight="1">
      <c r="A118" s="30">
        <f>_xlfn.AGGREGATE(4,7,A$6:A117)+1</f>
        <v>73</v>
      </c>
      <c r="B118" s="31" t="str">
        <f t="shared" si="13"/>
        <v>H. Ba Bể</v>
      </c>
      <c r="C118" s="31" t="str">
        <f t="shared" si="23"/>
        <v>X. Mỹ Phương</v>
      </c>
      <c r="D118" s="32"/>
      <c r="E118" s="32" t="s">
        <v>58</v>
      </c>
      <c r="F118" s="66" t="s">
        <v>176</v>
      </c>
      <c r="G118" s="32"/>
      <c r="H118" s="32" t="str">
        <f>IF(LEFT('PL1(Full)'!$F118,4)="Thôn","Thôn","Tổ")</f>
        <v>Thôn</v>
      </c>
      <c r="I118" s="36">
        <v>81</v>
      </c>
      <c r="J118" s="35">
        <v>368</v>
      </c>
      <c r="K118" s="35">
        <v>81</v>
      </c>
      <c r="L118" s="37">
        <f t="shared" si="0"/>
        <v>100</v>
      </c>
      <c r="M118" s="35">
        <v>21</v>
      </c>
      <c r="N118" s="38">
        <f t="shared" si="1"/>
        <v>25.925925925925927</v>
      </c>
      <c r="O118" s="36">
        <v>21</v>
      </c>
      <c r="P118" s="38">
        <f t="shared" si="2"/>
        <v>100</v>
      </c>
      <c r="Q118" s="39" t="s">
        <v>56</v>
      </c>
      <c r="R118" s="39" t="str">
        <f t="shared" si="3"/>
        <v>X</v>
      </c>
      <c r="S118" s="34"/>
      <c r="T118" s="34" t="str">
        <f>IF('PL1(Full)'!$N118&gt;=20,"x",IF(AND('PL1(Full)'!$N118&gt;=15,'PL1(Full)'!$P118&gt;60),"x",""))</f>
        <v>x</v>
      </c>
      <c r="U118" s="34" t="str">
        <f>IF(AND('PL1(Full)'!$H118="Thôn",'PL1(Full)'!$I118&lt;75),"x",IF(AND('PL1(Full)'!$H118="Tổ",'PL1(Full)'!$I118&lt;100),"x","-"))</f>
        <v>-</v>
      </c>
      <c r="V118" s="34" t="str">
        <f>IF(AND('PL1(Full)'!$H118="Thôn",'PL1(Full)'!$I118&lt;140),"x",IF(AND('PL1(Full)'!$H118="Tổ",'PL1(Full)'!$I118&lt;210),"x","-"))</f>
        <v>x</v>
      </c>
      <c r="W118" s="40" t="str">
        <f t="shared" si="14"/>
        <v>Loại 3</v>
      </c>
      <c r="X118" s="34"/>
    </row>
    <row r="119" spans="1:24" ht="15.75" hidden="1" customHeight="1">
      <c r="A119" s="30">
        <f>_xlfn.AGGREGATE(4,7,A$6:A118)+1</f>
        <v>73</v>
      </c>
      <c r="B119" s="31" t="str">
        <f t="shared" si="13"/>
        <v>H. Ba Bể</v>
      </c>
      <c r="C119" s="31" t="str">
        <f t="shared" si="23"/>
        <v>X. Mỹ Phương</v>
      </c>
      <c r="D119" s="32"/>
      <c r="E119" s="32" t="s">
        <v>58</v>
      </c>
      <c r="F119" s="66" t="s">
        <v>177</v>
      </c>
      <c r="G119" s="32"/>
      <c r="H119" s="32" t="str">
        <f>IF(LEFT('PL1(Full)'!$F119,4)="Thôn","Thôn","Tổ")</f>
        <v>Thôn</v>
      </c>
      <c r="I119" s="36">
        <v>88</v>
      </c>
      <c r="J119" s="35">
        <v>385</v>
      </c>
      <c r="K119" s="35">
        <v>88</v>
      </c>
      <c r="L119" s="37">
        <f t="shared" si="0"/>
        <v>100</v>
      </c>
      <c r="M119" s="35">
        <v>18</v>
      </c>
      <c r="N119" s="38">
        <f t="shared" si="1"/>
        <v>20.454545454545453</v>
      </c>
      <c r="O119" s="36">
        <v>18</v>
      </c>
      <c r="P119" s="38">
        <f t="shared" si="2"/>
        <v>100</v>
      </c>
      <c r="Q119" s="39" t="s">
        <v>56</v>
      </c>
      <c r="R119" s="39" t="str">
        <f t="shared" si="3"/>
        <v>X</v>
      </c>
      <c r="S119" s="34"/>
      <c r="T119" s="34" t="str">
        <f>IF('PL1(Full)'!$N119&gt;=20,"x",IF(AND('PL1(Full)'!$N119&gt;=15,'PL1(Full)'!$P119&gt;60),"x",""))</f>
        <v>x</v>
      </c>
      <c r="U119" s="34" t="str">
        <f>IF(AND('PL1(Full)'!$H119="Thôn",'PL1(Full)'!$I119&lt;75),"x",IF(AND('PL1(Full)'!$H119="Tổ",'PL1(Full)'!$I119&lt;100),"x","-"))</f>
        <v>-</v>
      </c>
      <c r="V119" s="34" t="str">
        <f>IF(AND('PL1(Full)'!$H119="Thôn",'PL1(Full)'!$I119&lt;140),"x",IF(AND('PL1(Full)'!$H119="Tổ",'PL1(Full)'!$I119&lt;210),"x","-"))</f>
        <v>x</v>
      </c>
      <c r="W119" s="40" t="str">
        <f t="shared" si="14"/>
        <v>Loại 3</v>
      </c>
      <c r="X119" s="34"/>
    </row>
    <row r="120" spans="1:24" ht="15.75" customHeight="1">
      <c r="A120" s="41">
        <f>_xlfn.AGGREGATE(4,7,A$6:A119)+1</f>
        <v>73</v>
      </c>
      <c r="B120" s="42" t="str">
        <f t="shared" si="13"/>
        <v>H. Ba Bể</v>
      </c>
      <c r="C120" s="42" t="str">
        <f t="shared" si="23"/>
        <v>X. Mỹ Phương</v>
      </c>
      <c r="D120" s="43"/>
      <c r="E120" s="43" t="s">
        <v>58</v>
      </c>
      <c r="F120" s="67" t="s">
        <v>178</v>
      </c>
      <c r="G120" s="43"/>
      <c r="H120" s="43" t="str">
        <f>IF(LEFT('PL1(Full)'!$F120,4)="Thôn","Thôn","Tổ")</f>
        <v>Thôn</v>
      </c>
      <c r="I120" s="46">
        <v>24</v>
      </c>
      <c r="J120" s="45">
        <v>112</v>
      </c>
      <c r="K120" s="45">
        <v>24</v>
      </c>
      <c r="L120" s="47">
        <f t="shared" si="0"/>
        <v>100</v>
      </c>
      <c r="M120" s="45">
        <v>24</v>
      </c>
      <c r="N120" s="48">
        <f t="shared" si="1"/>
        <v>100</v>
      </c>
      <c r="O120" s="46">
        <v>24</v>
      </c>
      <c r="P120" s="48">
        <f t="shared" si="2"/>
        <v>100</v>
      </c>
      <c r="Q120" s="49" t="s">
        <v>63</v>
      </c>
      <c r="R120" s="49" t="str">
        <f t="shared" si="3"/>
        <v>X</v>
      </c>
      <c r="S120" s="50" t="s">
        <v>60</v>
      </c>
      <c r="T120" s="50" t="str">
        <f>IF('PL1(Full)'!$N120&gt;=20,"x",IF(AND('PL1(Full)'!$N120&gt;=15,'PL1(Full)'!$P120&gt;60),"x",""))</f>
        <v>x</v>
      </c>
      <c r="U120" s="50" t="str">
        <f>IF(AND('PL1(Full)'!$H120="Thôn",'PL1(Full)'!$I120&lt;75),"x",IF(AND('PL1(Full)'!$H120="Tổ",'PL1(Full)'!$I120&lt;100),"x","-"))</f>
        <v>x</v>
      </c>
      <c r="V120" s="34" t="str">
        <f>IF(AND('PL1(Full)'!$H120="Thôn",'PL1(Full)'!$I120&lt;140),"x",IF(AND('PL1(Full)'!$H120="Tổ",'PL1(Full)'!$I120&lt;210),"x","-"))</f>
        <v>x</v>
      </c>
      <c r="W120" s="51" t="str">
        <f t="shared" si="14"/>
        <v>Loại 3</v>
      </c>
      <c r="X120" s="50"/>
    </row>
    <row r="121" spans="1:24" ht="15.75" hidden="1" customHeight="1">
      <c r="A121" s="52">
        <f>_xlfn.AGGREGATE(4,7,A$6:A120)+1</f>
        <v>74</v>
      </c>
      <c r="B121" s="14" t="str">
        <f t="shared" si="13"/>
        <v>H. Ba Bể</v>
      </c>
      <c r="C121" s="14" t="s">
        <v>179</v>
      </c>
      <c r="D121" s="25" t="s">
        <v>58</v>
      </c>
      <c r="E121" s="25" t="s">
        <v>58</v>
      </c>
      <c r="F121" s="14" t="s">
        <v>76</v>
      </c>
      <c r="G121" s="25"/>
      <c r="H121" s="25" t="str">
        <f>IF(LEFT('PL1(Full)'!$F121,4)="Thôn","Thôn","Tổ")</f>
        <v>Thôn</v>
      </c>
      <c r="I121" s="20">
        <v>89</v>
      </c>
      <c r="J121" s="20">
        <v>300</v>
      </c>
      <c r="K121" s="20">
        <v>89</v>
      </c>
      <c r="L121" s="21">
        <f t="shared" si="0"/>
        <v>100</v>
      </c>
      <c r="M121" s="68">
        <v>6</v>
      </c>
      <c r="N121" s="22">
        <f t="shared" si="1"/>
        <v>6.7415730337078648</v>
      </c>
      <c r="O121" s="19">
        <v>6</v>
      </c>
      <c r="P121" s="22">
        <f t="shared" si="2"/>
        <v>100</v>
      </c>
      <c r="Q121" s="23" t="s">
        <v>49</v>
      </c>
      <c r="R121" s="24" t="str">
        <f t="shared" si="3"/>
        <v>X</v>
      </c>
      <c r="S121" s="25" t="s">
        <v>60</v>
      </c>
      <c r="T121" s="26" t="str">
        <f>IF('PL1(Full)'!$N121&gt;=20,"x",IF(AND('PL1(Full)'!$N121&gt;=15,'PL1(Full)'!$P121&gt;60),"x",""))</f>
        <v/>
      </c>
      <c r="U121" s="27" t="str">
        <f>IF(AND('PL1(Full)'!$H121="Thôn",'PL1(Full)'!$I121&lt;75),"x",IF(AND('PL1(Full)'!$H121="Tổ",'PL1(Full)'!$I121&lt;100),"x","-"))</f>
        <v>-</v>
      </c>
      <c r="V121" s="28" t="str">
        <f>IF(AND('PL1(Full)'!$H121="Thôn",'PL1(Full)'!$I121&lt;140),"x",IF(AND('PL1(Full)'!$H121="Tổ",'PL1(Full)'!$I121&lt;210),"x","-"))</f>
        <v>x</v>
      </c>
      <c r="W121" s="29" t="str">
        <f t="shared" si="14"/>
        <v>Loại 3</v>
      </c>
      <c r="X121" s="25"/>
    </row>
    <row r="122" spans="1:24" ht="15.75" customHeight="1">
      <c r="A122" s="30">
        <f>_xlfn.AGGREGATE(4,7,A$6:A121)+1</f>
        <v>74</v>
      </c>
      <c r="B122" s="31" t="str">
        <f t="shared" si="13"/>
        <v>H. Ba Bể</v>
      </c>
      <c r="C122" s="31" t="str">
        <f t="shared" ref="C122:C129" si="24">C121</f>
        <v>X. Nam Mẫu</v>
      </c>
      <c r="D122" s="34"/>
      <c r="E122" s="34" t="s">
        <v>58</v>
      </c>
      <c r="F122" s="31" t="s">
        <v>180</v>
      </c>
      <c r="G122" s="34"/>
      <c r="H122" s="34" t="str">
        <f>IF(LEFT('PL1(Full)'!$F122,4)="Thôn","Thôn","Tổ")</f>
        <v>Thôn</v>
      </c>
      <c r="I122" s="36">
        <v>52</v>
      </c>
      <c r="J122" s="36">
        <v>219</v>
      </c>
      <c r="K122" s="36">
        <v>52</v>
      </c>
      <c r="L122" s="37">
        <f t="shared" si="0"/>
        <v>100</v>
      </c>
      <c r="M122" s="69">
        <v>0</v>
      </c>
      <c r="N122" s="38">
        <f t="shared" si="1"/>
        <v>0</v>
      </c>
      <c r="O122" s="36">
        <v>0</v>
      </c>
      <c r="P122" s="38">
        <f t="shared" si="2"/>
        <v>0</v>
      </c>
      <c r="Q122" s="39" t="s">
        <v>52</v>
      </c>
      <c r="R122" s="39" t="str">
        <f t="shared" si="3"/>
        <v>C</v>
      </c>
      <c r="S122" s="34"/>
      <c r="T122" s="34"/>
      <c r="U122" s="34" t="str">
        <f>IF(AND('PL1(Full)'!$H122="Thôn",'PL1(Full)'!$I122&lt;75),"x",IF(AND('PL1(Full)'!$H122="Tổ",'PL1(Full)'!$I122&lt;100),"x","-"))</f>
        <v>x</v>
      </c>
      <c r="V122" s="34" t="str">
        <f>IF(AND('PL1(Full)'!$H122="Thôn",'PL1(Full)'!$I122&lt;140),"x",IF(AND('PL1(Full)'!$H122="Tổ",'PL1(Full)'!$I122&lt;210),"x","-"))</f>
        <v>x</v>
      </c>
      <c r="W122" s="40" t="str">
        <f t="shared" si="14"/>
        <v>Loại 3</v>
      </c>
      <c r="X122" s="34"/>
    </row>
    <row r="123" spans="1:24" ht="15.75" customHeight="1">
      <c r="A123" s="30">
        <f>_xlfn.AGGREGATE(4,7,A$6:A122)+1</f>
        <v>75</v>
      </c>
      <c r="B123" s="31" t="str">
        <f t="shared" si="13"/>
        <v>H. Ba Bể</v>
      </c>
      <c r="C123" s="31" t="str">
        <f t="shared" si="24"/>
        <v>X. Nam Mẫu</v>
      </c>
      <c r="D123" s="34"/>
      <c r="E123" s="34" t="s">
        <v>58</v>
      </c>
      <c r="F123" s="31" t="s">
        <v>181</v>
      </c>
      <c r="G123" s="34"/>
      <c r="H123" s="34" t="str">
        <f>IF(LEFT('PL1(Full)'!$F123,4)="Thôn","Thôn","Tổ")</f>
        <v>Thôn</v>
      </c>
      <c r="I123" s="36">
        <v>52</v>
      </c>
      <c r="J123" s="36">
        <v>215</v>
      </c>
      <c r="K123" s="36">
        <v>52</v>
      </c>
      <c r="L123" s="37">
        <f t="shared" si="0"/>
        <v>100</v>
      </c>
      <c r="M123" s="69">
        <v>3</v>
      </c>
      <c r="N123" s="38">
        <f t="shared" si="1"/>
        <v>5.7692307692307692</v>
      </c>
      <c r="O123" s="36">
        <v>3</v>
      </c>
      <c r="P123" s="38">
        <f t="shared" si="2"/>
        <v>100</v>
      </c>
      <c r="Q123" s="39" t="s">
        <v>56</v>
      </c>
      <c r="R123" s="39" t="str">
        <f t="shared" si="3"/>
        <v>X</v>
      </c>
      <c r="S123" s="34"/>
      <c r="T123" s="34" t="str">
        <f>IF('PL1(Full)'!$N123&gt;=20,"x",IF(AND('PL1(Full)'!$N123&gt;=15,'PL1(Full)'!$P123&gt;60),"x",""))</f>
        <v/>
      </c>
      <c r="U123" s="34" t="str">
        <f>IF(AND('PL1(Full)'!$H123="Thôn",'PL1(Full)'!$I123&lt;75),"x",IF(AND('PL1(Full)'!$H123="Tổ",'PL1(Full)'!$I123&lt;100),"x","-"))</f>
        <v>x</v>
      </c>
      <c r="V123" s="34" t="str">
        <f>IF(AND('PL1(Full)'!$H123="Thôn",'PL1(Full)'!$I123&lt;140),"x",IF(AND('PL1(Full)'!$H123="Tổ",'PL1(Full)'!$I123&lt;210),"x","-"))</f>
        <v>x</v>
      </c>
      <c r="W123" s="40" t="str">
        <f t="shared" si="14"/>
        <v>Loại 3</v>
      </c>
      <c r="X123" s="34"/>
    </row>
    <row r="124" spans="1:24" ht="15.75" customHeight="1">
      <c r="A124" s="30">
        <f>_xlfn.AGGREGATE(4,7,A$6:A123)+1</f>
        <v>76</v>
      </c>
      <c r="B124" s="31" t="str">
        <f t="shared" si="13"/>
        <v>H. Ba Bể</v>
      </c>
      <c r="C124" s="31" t="str">
        <f t="shared" si="24"/>
        <v>X. Nam Mẫu</v>
      </c>
      <c r="D124" s="34"/>
      <c r="E124" s="34" t="s">
        <v>58</v>
      </c>
      <c r="F124" s="31" t="s">
        <v>182</v>
      </c>
      <c r="G124" s="34"/>
      <c r="H124" s="34" t="str">
        <f>IF(LEFT('PL1(Full)'!$F124,4)="Thôn","Thôn","Tổ")</f>
        <v>Thôn</v>
      </c>
      <c r="I124" s="36">
        <v>73</v>
      </c>
      <c r="J124" s="36">
        <v>389</v>
      </c>
      <c r="K124" s="36">
        <v>73</v>
      </c>
      <c r="L124" s="37">
        <f t="shared" si="0"/>
        <v>100</v>
      </c>
      <c r="M124" s="70">
        <v>73</v>
      </c>
      <c r="N124" s="38">
        <f t="shared" si="1"/>
        <v>100</v>
      </c>
      <c r="O124" s="35">
        <v>73</v>
      </c>
      <c r="P124" s="38">
        <f t="shared" si="2"/>
        <v>100</v>
      </c>
      <c r="Q124" s="39" t="s">
        <v>56</v>
      </c>
      <c r="R124" s="39" t="str">
        <f t="shared" si="3"/>
        <v>X</v>
      </c>
      <c r="S124" s="34" t="s">
        <v>60</v>
      </c>
      <c r="T124" s="34" t="str">
        <f>IF('PL1(Full)'!$N124&gt;=20,"x",IF(AND('PL1(Full)'!$N124&gt;=15,'PL1(Full)'!$P124&gt;60),"x",""))</f>
        <v>x</v>
      </c>
      <c r="U124" s="34" t="str">
        <f>IF(AND('PL1(Full)'!$H124="Thôn",'PL1(Full)'!$I124&lt;75),"x",IF(AND('PL1(Full)'!$H124="Tổ",'PL1(Full)'!$I124&lt;100),"x","-"))</f>
        <v>x</v>
      </c>
      <c r="V124" s="34" t="str">
        <f>IF(AND('PL1(Full)'!$H124="Thôn",'PL1(Full)'!$I124&lt;140),"x",IF(AND('PL1(Full)'!$H124="Tổ",'PL1(Full)'!$I124&lt;210),"x","-"))</f>
        <v>x</v>
      </c>
      <c r="W124" s="40" t="str">
        <f t="shared" si="14"/>
        <v>Loại 3</v>
      </c>
      <c r="X124" s="34"/>
    </row>
    <row r="125" spans="1:24" ht="15.75" customHeight="1">
      <c r="A125" s="30">
        <f>_xlfn.AGGREGATE(4,7,A$6:A124)+1</f>
        <v>77</v>
      </c>
      <c r="B125" s="31" t="str">
        <f t="shared" si="13"/>
        <v>H. Ba Bể</v>
      </c>
      <c r="C125" s="31" t="str">
        <f t="shared" si="24"/>
        <v>X. Nam Mẫu</v>
      </c>
      <c r="D125" s="34"/>
      <c r="E125" s="34" t="s">
        <v>58</v>
      </c>
      <c r="F125" s="31" t="s">
        <v>183</v>
      </c>
      <c r="G125" s="34"/>
      <c r="H125" s="34" t="str">
        <f>IF(LEFT('PL1(Full)'!$F125,4)="Thôn","Thôn","Tổ")</f>
        <v>Thôn</v>
      </c>
      <c r="I125" s="36">
        <v>52</v>
      </c>
      <c r="J125" s="36">
        <v>344</v>
      </c>
      <c r="K125" s="36">
        <v>52</v>
      </c>
      <c r="L125" s="37">
        <f t="shared" si="0"/>
        <v>100</v>
      </c>
      <c r="M125" s="70">
        <v>50</v>
      </c>
      <c r="N125" s="38">
        <f t="shared" si="1"/>
        <v>96.15384615384616</v>
      </c>
      <c r="O125" s="35">
        <v>50</v>
      </c>
      <c r="P125" s="38">
        <f t="shared" si="2"/>
        <v>100</v>
      </c>
      <c r="Q125" s="39" t="s">
        <v>56</v>
      </c>
      <c r="R125" s="39" t="str">
        <f t="shared" si="3"/>
        <v>X</v>
      </c>
      <c r="S125" s="34" t="s">
        <v>60</v>
      </c>
      <c r="T125" s="34" t="str">
        <f>IF('PL1(Full)'!$N125&gt;=20,"x",IF(AND('PL1(Full)'!$N125&gt;=15,'PL1(Full)'!$P125&gt;60),"x",""))</f>
        <v>x</v>
      </c>
      <c r="U125" s="34" t="str">
        <f>IF(AND('PL1(Full)'!$H125="Thôn",'PL1(Full)'!$I125&lt;75),"x",IF(AND('PL1(Full)'!$H125="Tổ",'PL1(Full)'!$I125&lt;100),"x","-"))</f>
        <v>x</v>
      </c>
      <c r="V125" s="34" t="str">
        <f>IF(AND('PL1(Full)'!$H125="Thôn",'PL1(Full)'!$I125&lt;140),"x",IF(AND('PL1(Full)'!$H125="Tổ",'PL1(Full)'!$I125&lt;210),"x","-"))</f>
        <v>x</v>
      </c>
      <c r="W125" s="40" t="str">
        <f t="shared" si="14"/>
        <v>Loại 3</v>
      </c>
      <c r="X125" s="34"/>
    </row>
    <row r="126" spans="1:24" ht="15.75" customHeight="1">
      <c r="A126" s="30">
        <f>_xlfn.AGGREGATE(4,7,A$6:A125)+1</f>
        <v>78</v>
      </c>
      <c r="B126" s="31" t="str">
        <f t="shared" si="13"/>
        <v>H. Ba Bể</v>
      </c>
      <c r="C126" s="31" t="str">
        <f t="shared" si="24"/>
        <v>X. Nam Mẫu</v>
      </c>
      <c r="D126" s="34"/>
      <c r="E126" s="34" t="s">
        <v>58</v>
      </c>
      <c r="F126" s="31" t="s">
        <v>184</v>
      </c>
      <c r="G126" s="34"/>
      <c r="H126" s="34" t="str">
        <f>IF(LEFT('PL1(Full)'!$F126,4)="Thôn","Thôn","Tổ")</f>
        <v>Thôn</v>
      </c>
      <c r="I126" s="36">
        <v>21</v>
      </c>
      <c r="J126" s="36">
        <v>107</v>
      </c>
      <c r="K126" s="36">
        <v>21</v>
      </c>
      <c r="L126" s="37">
        <f t="shared" si="0"/>
        <v>100</v>
      </c>
      <c r="M126" s="70">
        <v>15</v>
      </c>
      <c r="N126" s="38">
        <f t="shared" si="1"/>
        <v>71.428571428571431</v>
      </c>
      <c r="O126" s="35">
        <v>15</v>
      </c>
      <c r="P126" s="38">
        <f t="shared" si="2"/>
        <v>100</v>
      </c>
      <c r="Q126" s="39" t="s">
        <v>63</v>
      </c>
      <c r="R126" s="39" t="str">
        <f t="shared" si="3"/>
        <v>X</v>
      </c>
      <c r="S126" s="34" t="s">
        <v>60</v>
      </c>
      <c r="T126" s="34" t="str">
        <f>IF('PL1(Full)'!$N126&gt;=20,"x",IF(AND('PL1(Full)'!$N126&gt;=15,'PL1(Full)'!$P126&gt;60),"x",""))</f>
        <v>x</v>
      </c>
      <c r="U126" s="34" t="str">
        <f>IF(AND('PL1(Full)'!$H126="Thôn",'PL1(Full)'!$I126&lt;75),"x",IF(AND('PL1(Full)'!$H126="Tổ",'PL1(Full)'!$I126&lt;100),"x","-"))</f>
        <v>x</v>
      </c>
      <c r="V126" s="34" t="str">
        <f>IF(AND('PL1(Full)'!$H126="Thôn",'PL1(Full)'!$I126&lt;140),"x",IF(AND('PL1(Full)'!$H126="Tổ",'PL1(Full)'!$I126&lt;210),"x","-"))</f>
        <v>x</v>
      </c>
      <c r="W126" s="40" t="str">
        <f t="shared" si="14"/>
        <v>Loại 3</v>
      </c>
      <c r="X126" s="34"/>
    </row>
    <row r="127" spans="1:24" ht="15.75" hidden="1" customHeight="1">
      <c r="A127" s="30">
        <f>_xlfn.AGGREGATE(4,7,A$6:A126)+1</f>
        <v>79</v>
      </c>
      <c r="B127" s="31" t="str">
        <f t="shared" si="13"/>
        <v>H. Ba Bể</v>
      </c>
      <c r="C127" s="31" t="str">
        <f t="shared" si="24"/>
        <v>X. Nam Mẫu</v>
      </c>
      <c r="D127" s="34"/>
      <c r="E127" s="34" t="s">
        <v>58</v>
      </c>
      <c r="F127" s="31" t="s">
        <v>185</v>
      </c>
      <c r="G127" s="34"/>
      <c r="H127" s="34" t="str">
        <f>IF(LEFT('PL1(Full)'!$F127,4)="Thôn","Thôn","Tổ")</f>
        <v>Thôn</v>
      </c>
      <c r="I127" s="36">
        <v>75</v>
      </c>
      <c r="J127" s="36">
        <v>434</v>
      </c>
      <c r="K127" s="36">
        <v>75</v>
      </c>
      <c r="L127" s="37">
        <f t="shared" si="0"/>
        <v>100</v>
      </c>
      <c r="M127" s="70">
        <v>74</v>
      </c>
      <c r="N127" s="38">
        <f t="shared" si="1"/>
        <v>98.666666666666671</v>
      </c>
      <c r="O127" s="35">
        <v>74</v>
      </c>
      <c r="P127" s="38">
        <f t="shared" si="2"/>
        <v>100</v>
      </c>
      <c r="Q127" s="39" t="s">
        <v>56</v>
      </c>
      <c r="R127" s="39" t="str">
        <f t="shared" si="3"/>
        <v>X</v>
      </c>
      <c r="S127" s="34" t="s">
        <v>60</v>
      </c>
      <c r="T127" s="34" t="str">
        <f>IF('PL1(Full)'!$N127&gt;=20,"x",IF(AND('PL1(Full)'!$N127&gt;=15,'PL1(Full)'!$P127&gt;60),"x",""))</f>
        <v>x</v>
      </c>
      <c r="U127" s="34" t="str">
        <f>IF(AND('PL1(Full)'!$H127="Thôn",'PL1(Full)'!$I127&lt;75),"x",IF(AND('PL1(Full)'!$H127="Tổ",'PL1(Full)'!$I127&lt;100),"x","-"))</f>
        <v>-</v>
      </c>
      <c r="V127" s="34" t="str">
        <f>IF(AND('PL1(Full)'!$H127="Thôn",'PL1(Full)'!$I127&lt;140),"x",IF(AND('PL1(Full)'!$H127="Tổ",'PL1(Full)'!$I127&lt;210),"x","-"))</f>
        <v>x</v>
      </c>
      <c r="W127" s="40" t="str">
        <f t="shared" si="14"/>
        <v>Loại 3</v>
      </c>
      <c r="X127" s="34"/>
    </row>
    <row r="128" spans="1:24" ht="15.75" customHeight="1">
      <c r="A128" s="30">
        <f>_xlfn.AGGREGATE(4,7,A$6:A127)+1</f>
        <v>79</v>
      </c>
      <c r="B128" s="31" t="str">
        <f t="shared" si="13"/>
        <v>H. Ba Bể</v>
      </c>
      <c r="C128" s="31" t="str">
        <f t="shared" si="24"/>
        <v>X. Nam Mẫu</v>
      </c>
      <c r="D128" s="34"/>
      <c r="E128" s="34" t="s">
        <v>58</v>
      </c>
      <c r="F128" s="31" t="s">
        <v>186</v>
      </c>
      <c r="G128" s="34"/>
      <c r="H128" s="34" t="str">
        <f>IF(LEFT('PL1(Full)'!$F128,4)="Thôn","Thôn","Tổ")</f>
        <v>Thôn</v>
      </c>
      <c r="I128" s="36">
        <v>21</v>
      </c>
      <c r="J128" s="36">
        <v>95</v>
      </c>
      <c r="K128" s="36">
        <v>21</v>
      </c>
      <c r="L128" s="37">
        <f t="shared" si="0"/>
        <v>100</v>
      </c>
      <c r="M128" s="70">
        <v>19</v>
      </c>
      <c r="N128" s="38">
        <f t="shared" si="1"/>
        <v>90.476190476190482</v>
      </c>
      <c r="O128" s="35">
        <v>19</v>
      </c>
      <c r="P128" s="38">
        <f t="shared" si="2"/>
        <v>100</v>
      </c>
      <c r="Q128" s="39" t="s">
        <v>63</v>
      </c>
      <c r="R128" s="39" t="str">
        <f t="shared" si="3"/>
        <v>X</v>
      </c>
      <c r="S128" s="34" t="s">
        <v>60</v>
      </c>
      <c r="T128" s="34" t="str">
        <f>IF('PL1(Full)'!$N128&gt;=20,"x",IF(AND('PL1(Full)'!$N128&gt;=15,'PL1(Full)'!$P128&gt;60),"x",""))</f>
        <v>x</v>
      </c>
      <c r="U128" s="34" t="str">
        <f>IF(AND('PL1(Full)'!$H128="Thôn",'PL1(Full)'!$I128&lt;75),"x",IF(AND('PL1(Full)'!$H128="Tổ",'PL1(Full)'!$I128&lt;100),"x","-"))</f>
        <v>x</v>
      </c>
      <c r="V128" s="34" t="str">
        <f>IF(AND('PL1(Full)'!$H128="Thôn",'PL1(Full)'!$I128&lt;140),"x",IF(AND('PL1(Full)'!$H128="Tổ",'PL1(Full)'!$I128&lt;210),"x","-"))</f>
        <v>x</v>
      </c>
      <c r="W128" s="40" t="str">
        <f t="shared" si="14"/>
        <v>Loại 3</v>
      </c>
      <c r="X128" s="34"/>
    </row>
    <row r="129" spans="1:24" ht="15.75" hidden="1" customHeight="1">
      <c r="A129" s="41">
        <f>_xlfn.AGGREGATE(4,7,A$6:A128)+1</f>
        <v>80</v>
      </c>
      <c r="B129" s="42" t="str">
        <f t="shared" si="13"/>
        <v>H. Ba Bể</v>
      </c>
      <c r="C129" s="42" t="str">
        <f t="shared" si="24"/>
        <v>X. Nam Mẫu</v>
      </c>
      <c r="D129" s="50"/>
      <c r="E129" s="50" t="s">
        <v>58</v>
      </c>
      <c r="F129" s="42" t="s">
        <v>187</v>
      </c>
      <c r="G129" s="50"/>
      <c r="H129" s="50" t="str">
        <f>IF(LEFT('PL1(Full)'!$F129,4)="Thôn","Thôn","Tổ")</f>
        <v>Thôn</v>
      </c>
      <c r="I129" s="46">
        <v>97</v>
      </c>
      <c r="J129" s="46">
        <v>419</v>
      </c>
      <c r="K129" s="46">
        <v>97</v>
      </c>
      <c r="L129" s="47">
        <f t="shared" si="0"/>
        <v>100</v>
      </c>
      <c r="M129" s="71">
        <v>5</v>
      </c>
      <c r="N129" s="48">
        <f t="shared" si="1"/>
        <v>5.1546391752577323</v>
      </c>
      <c r="O129" s="46">
        <v>5</v>
      </c>
      <c r="P129" s="48">
        <f t="shared" si="2"/>
        <v>100</v>
      </c>
      <c r="Q129" s="49" t="s">
        <v>49</v>
      </c>
      <c r="R129" s="49" t="str">
        <f t="shared" si="3"/>
        <v>X</v>
      </c>
      <c r="S129" s="50"/>
      <c r="T129" s="50" t="str">
        <f>IF('PL1(Full)'!$N129&gt;=20,"x",IF(AND('PL1(Full)'!$N129&gt;=15,'PL1(Full)'!$P129&gt;60),"x",""))</f>
        <v/>
      </c>
      <c r="U129" s="50" t="str">
        <f>IF(AND('PL1(Full)'!$H129="Thôn",'PL1(Full)'!$I129&lt;75),"x",IF(AND('PL1(Full)'!$H129="Tổ",'PL1(Full)'!$I129&lt;100),"x","-"))</f>
        <v>-</v>
      </c>
      <c r="V129" s="34" t="str">
        <f>IF(AND('PL1(Full)'!$H129="Thôn",'PL1(Full)'!$I129&lt;140),"x",IF(AND('PL1(Full)'!$H129="Tổ",'PL1(Full)'!$I129&lt;210),"x","-"))</f>
        <v>x</v>
      </c>
      <c r="W129" s="51" t="str">
        <f t="shared" si="14"/>
        <v>Loại 3</v>
      </c>
      <c r="X129" s="50"/>
    </row>
    <row r="130" spans="1:24" ht="15.75" customHeight="1">
      <c r="A130" s="52">
        <f>_xlfn.AGGREGATE(4,7,A$6:A129)+1</f>
        <v>80</v>
      </c>
      <c r="B130" s="14" t="str">
        <f t="shared" si="13"/>
        <v>H. Ba Bể</v>
      </c>
      <c r="C130" s="14" t="s">
        <v>188</v>
      </c>
      <c r="D130" s="25" t="s">
        <v>58</v>
      </c>
      <c r="E130" s="25" t="s">
        <v>58</v>
      </c>
      <c r="F130" s="14" t="s">
        <v>189</v>
      </c>
      <c r="G130" s="25" t="s">
        <v>40</v>
      </c>
      <c r="H130" s="25" t="str">
        <f>IF(LEFT('PL1(Full)'!$F130,4)="Thôn","Thôn","Tổ")</f>
        <v>Thôn</v>
      </c>
      <c r="I130" s="20">
        <v>57</v>
      </c>
      <c r="J130" s="20">
        <v>253</v>
      </c>
      <c r="K130" s="20">
        <v>57</v>
      </c>
      <c r="L130" s="21">
        <f t="shared" si="0"/>
        <v>100</v>
      </c>
      <c r="M130" s="20">
        <v>4</v>
      </c>
      <c r="N130" s="22">
        <f t="shared" si="1"/>
        <v>7.0175438596491224</v>
      </c>
      <c r="O130" s="20">
        <v>4</v>
      </c>
      <c r="P130" s="22">
        <f t="shared" si="2"/>
        <v>100</v>
      </c>
      <c r="Q130" s="23" t="s">
        <v>56</v>
      </c>
      <c r="R130" s="24" t="str">
        <f t="shared" si="3"/>
        <v>X</v>
      </c>
      <c r="S130" s="25"/>
      <c r="T130" s="26" t="str">
        <f>IF('PL1(Full)'!$N130&gt;=20,"x",IF(AND('PL1(Full)'!$N130&gt;=15,'PL1(Full)'!$P130&gt;60),"x",""))</f>
        <v/>
      </c>
      <c r="U130" s="27" t="str">
        <f>IF(AND('PL1(Full)'!$H130="Thôn",'PL1(Full)'!$I130&lt;75),"x",IF(AND('PL1(Full)'!$H130="Tổ",'PL1(Full)'!$I130&lt;100),"x","-"))</f>
        <v>x</v>
      </c>
      <c r="V130" s="28" t="str">
        <f>IF(AND('PL1(Full)'!$H130="Thôn",'PL1(Full)'!$I130&lt;140),"x",IF(AND('PL1(Full)'!$H130="Tổ",'PL1(Full)'!$I130&lt;210),"x","-"))</f>
        <v>x</v>
      </c>
      <c r="W130" s="29" t="str">
        <f t="shared" si="14"/>
        <v>Loại 3</v>
      </c>
      <c r="X130" s="14"/>
    </row>
    <row r="131" spans="1:24" ht="15.75" customHeight="1">
      <c r="A131" s="30">
        <f>_xlfn.AGGREGATE(4,7,A$6:A130)+1</f>
        <v>81</v>
      </c>
      <c r="B131" s="31" t="str">
        <f t="shared" si="13"/>
        <v>H. Ba Bể</v>
      </c>
      <c r="C131" s="31" t="str">
        <f t="shared" ref="C131:C146" si="25">C130</f>
        <v>X. Phúc Lộc</v>
      </c>
      <c r="D131" s="34"/>
      <c r="E131" s="34" t="s">
        <v>58</v>
      </c>
      <c r="F131" s="31" t="s">
        <v>190</v>
      </c>
      <c r="G131" s="34"/>
      <c r="H131" s="34" t="str">
        <f>IF(LEFT('PL1(Full)'!$F131,4)="Thôn","Thôn","Tổ")</f>
        <v>Thôn</v>
      </c>
      <c r="I131" s="36">
        <v>50</v>
      </c>
      <c r="J131" s="36">
        <v>231</v>
      </c>
      <c r="K131" s="36">
        <v>50</v>
      </c>
      <c r="L131" s="37">
        <f t="shared" si="0"/>
        <v>100</v>
      </c>
      <c r="M131" s="36">
        <v>25</v>
      </c>
      <c r="N131" s="38">
        <f t="shared" si="1"/>
        <v>50</v>
      </c>
      <c r="O131" s="36">
        <v>25</v>
      </c>
      <c r="P131" s="38">
        <f t="shared" si="2"/>
        <v>100</v>
      </c>
      <c r="Q131" s="39" t="s">
        <v>52</v>
      </c>
      <c r="R131" s="39" t="str">
        <f t="shared" si="3"/>
        <v>C</v>
      </c>
      <c r="S131" s="34" t="s">
        <v>60</v>
      </c>
      <c r="T131" s="34" t="str">
        <f>IF('PL1(Full)'!$N131&gt;=20,"x",IF(AND('PL1(Full)'!$N131&gt;=15,'PL1(Full)'!$P131&gt;60),"x",""))</f>
        <v>x</v>
      </c>
      <c r="U131" s="34" t="str">
        <f>IF(AND('PL1(Full)'!$H131="Thôn",'PL1(Full)'!$I131&lt;75),"x",IF(AND('PL1(Full)'!$H131="Tổ",'PL1(Full)'!$I131&lt;100),"x","-"))</f>
        <v>x</v>
      </c>
      <c r="V131" s="34" t="str">
        <f>IF(AND('PL1(Full)'!$H131="Thôn",'PL1(Full)'!$I131&lt;140),"x",IF(AND('PL1(Full)'!$H131="Tổ",'PL1(Full)'!$I131&lt;210),"x","-"))</f>
        <v>x</v>
      </c>
      <c r="W131" s="40" t="str">
        <f t="shared" si="14"/>
        <v>Loại 3</v>
      </c>
      <c r="X131" s="31"/>
    </row>
    <row r="132" spans="1:24" ht="15.75" customHeight="1">
      <c r="A132" s="30">
        <f>_xlfn.AGGREGATE(4,7,A$6:A131)+1</f>
        <v>82</v>
      </c>
      <c r="B132" s="31" t="str">
        <f t="shared" si="13"/>
        <v>H. Ba Bể</v>
      </c>
      <c r="C132" s="31" t="str">
        <f t="shared" si="25"/>
        <v>X. Phúc Lộc</v>
      </c>
      <c r="D132" s="34"/>
      <c r="E132" s="34" t="s">
        <v>58</v>
      </c>
      <c r="F132" s="31" t="s">
        <v>167</v>
      </c>
      <c r="G132" s="34"/>
      <c r="H132" s="34" t="str">
        <f>IF(LEFT('PL1(Full)'!$F132,4)="Thôn","Thôn","Tổ")</f>
        <v>Thôn</v>
      </c>
      <c r="I132" s="36">
        <v>17</v>
      </c>
      <c r="J132" s="36">
        <v>102</v>
      </c>
      <c r="K132" s="36">
        <v>17</v>
      </c>
      <c r="L132" s="37">
        <f t="shared" si="0"/>
        <v>100</v>
      </c>
      <c r="M132" s="36">
        <v>7</v>
      </c>
      <c r="N132" s="38">
        <f t="shared" si="1"/>
        <v>41.176470588235297</v>
      </c>
      <c r="O132" s="36">
        <v>7</v>
      </c>
      <c r="P132" s="38">
        <f t="shared" si="2"/>
        <v>100</v>
      </c>
      <c r="Q132" s="39" t="s">
        <v>63</v>
      </c>
      <c r="R132" s="39" t="str">
        <f t="shared" si="3"/>
        <v>X</v>
      </c>
      <c r="S132" s="34" t="s">
        <v>60</v>
      </c>
      <c r="T132" s="34" t="str">
        <f>IF('PL1(Full)'!$N132&gt;=20,"x",IF(AND('PL1(Full)'!$N132&gt;=15,'PL1(Full)'!$P132&gt;60),"x",""))</f>
        <v>x</v>
      </c>
      <c r="U132" s="34" t="str">
        <f>IF(AND('PL1(Full)'!$H132="Thôn",'PL1(Full)'!$I132&lt;75),"x",IF(AND('PL1(Full)'!$H132="Tổ",'PL1(Full)'!$I132&lt;100),"x","-"))</f>
        <v>x</v>
      </c>
      <c r="V132" s="34" t="str">
        <f>IF(AND('PL1(Full)'!$H132="Thôn",'PL1(Full)'!$I132&lt;140),"x",IF(AND('PL1(Full)'!$H132="Tổ",'PL1(Full)'!$I132&lt;210),"x","-"))</f>
        <v>x</v>
      </c>
      <c r="W132" s="40" t="str">
        <f t="shared" si="14"/>
        <v>Loại 3</v>
      </c>
      <c r="X132" s="31"/>
    </row>
    <row r="133" spans="1:24" ht="15.75" customHeight="1">
      <c r="A133" s="30">
        <f>_xlfn.AGGREGATE(4,7,A$6:A132)+1</f>
        <v>83</v>
      </c>
      <c r="B133" s="31" t="str">
        <f t="shared" si="13"/>
        <v>H. Ba Bể</v>
      </c>
      <c r="C133" s="31" t="str">
        <f t="shared" si="25"/>
        <v>X. Phúc Lộc</v>
      </c>
      <c r="D133" s="34"/>
      <c r="E133" s="34" t="s">
        <v>58</v>
      </c>
      <c r="F133" s="31" t="s">
        <v>191</v>
      </c>
      <c r="G133" s="34"/>
      <c r="H133" s="34" t="str">
        <f>IF(LEFT('PL1(Full)'!$F133,4)="Thôn","Thôn","Tổ")</f>
        <v>Thôn</v>
      </c>
      <c r="I133" s="36">
        <v>45</v>
      </c>
      <c r="J133" s="36">
        <v>215</v>
      </c>
      <c r="K133" s="36">
        <v>45</v>
      </c>
      <c r="L133" s="37">
        <f t="shared" si="0"/>
        <v>100</v>
      </c>
      <c r="M133" s="36">
        <v>14</v>
      </c>
      <c r="N133" s="38">
        <f t="shared" si="1"/>
        <v>31.111111111111111</v>
      </c>
      <c r="O133" s="36">
        <v>14</v>
      </c>
      <c r="P133" s="38">
        <f t="shared" si="2"/>
        <v>100</v>
      </c>
      <c r="Q133" s="39" t="s">
        <v>56</v>
      </c>
      <c r="R133" s="39" t="str">
        <f t="shared" si="3"/>
        <v>X</v>
      </c>
      <c r="S133" s="34"/>
      <c r="T133" s="34" t="str">
        <f>IF('PL1(Full)'!$N133&gt;=20,"x",IF(AND('PL1(Full)'!$N133&gt;=15,'PL1(Full)'!$P133&gt;60),"x",""))</f>
        <v>x</v>
      </c>
      <c r="U133" s="34" t="str">
        <f>IF(AND('PL1(Full)'!$H133="Thôn",'PL1(Full)'!$I133&lt;75),"x",IF(AND('PL1(Full)'!$H133="Tổ",'PL1(Full)'!$I133&lt;100),"x","-"))</f>
        <v>x</v>
      </c>
      <c r="V133" s="34" t="str">
        <f>IF(AND('PL1(Full)'!$H133="Thôn",'PL1(Full)'!$I133&lt;140),"x",IF(AND('PL1(Full)'!$H133="Tổ",'PL1(Full)'!$I133&lt;210),"x","-"))</f>
        <v>x</v>
      </c>
      <c r="W133" s="40" t="str">
        <f t="shared" si="14"/>
        <v>Loại 3</v>
      </c>
      <c r="X133" s="31"/>
    </row>
    <row r="134" spans="1:24" ht="15.75" customHeight="1">
      <c r="A134" s="30">
        <f>_xlfn.AGGREGATE(4,7,A$6:A133)+1</f>
        <v>84</v>
      </c>
      <c r="B134" s="31" t="str">
        <f t="shared" si="13"/>
        <v>H. Ba Bể</v>
      </c>
      <c r="C134" s="31" t="str">
        <f t="shared" si="25"/>
        <v>X. Phúc Lộc</v>
      </c>
      <c r="D134" s="34"/>
      <c r="E134" s="34" t="s">
        <v>58</v>
      </c>
      <c r="F134" s="31" t="s">
        <v>192</v>
      </c>
      <c r="G134" s="34"/>
      <c r="H134" s="34" t="str">
        <f>IF(LEFT('PL1(Full)'!$F134,4)="Thôn","Thôn","Tổ")</f>
        <v>Thôn</v>
      </c>
      <c r="I134" s="36">
        <v>26</v>
      </c>
      <c r="J134" s="36">
        <v>108</v>
      </c>
      <c r="K134" s="36">
        <v>26</v>
      </c>
      <c r="L134" s="37">
        <f t="shared" si="0"/>
        <v>100</v>
      </c>
      <c r="M134" s="36">
        <v>19</v>
      </c>
      <c r="N134" s="38">
        <f t="shared" si="1"/>
        <v>73.07692307692308</v>
      </c>
      <c r="O134" s="36">
        <v>19</v>
      </c>
      <c r="P134" s="38">
        <f t="shared" si="2"/>
        <v>100</v>
      </c>
      <c r="Q134" s="39" t="s">
        <v>52</v>
      </c>
      <c r="R134" s="39" t="str">
        <f t="shared" si="3"/>
        <v>C</v>
      </c>
      <c r="S134" s="34" t="s">
        <v>60</v>
      </c>
      <c r="T134" s="34" t="str">
        <f>IF('PL1(Full)'!$N134&gt;=20,"x",IF(AND('PL1(Full)'!$N134&gt;=15,'PL1(Full)'!$P134&gt;60),"x",""))</f>
        <v>x</v>
      </c>
      <c r="U134" s="34" t="str">
        <f>IF(AND('PL1(Full)'!$H134="Thôn",'PL1(Full)'!$I134&lt;75),"x",IF(AND('PL1(Full)'!$H134="Tổ",'PL1(Full)'!$I134&lt;100),"x","-"))</f>
        <v>x</v>
      </c>
      <c r="V134" s="34" t="str">
        <f>IF(AND('PL1(Full)'!$H134="Thôn",'PL1(Full)'!$I134&lt;140),"x",IF(AND('PL1(Full)'!$H134="Tổ",'PL1(Full)'!$I134&lt;210),"x","-"))</f>
        <v>x</v>
      </c>
      <c r="W134" s="40" t="str">
        <f t="shared" si="14"/>
        <v>Loại 3</v>
      </c>
      <c r="X134" s="31"/>
    </row>
    <row r="135" spans="1:24" ht="15.75" customHeight="1">
      <c r="A135" s="30">
        <f>_xlfn.AGGREGATE(4,7,A$6:A134)+1</f>
        <v>85</v>
      </c>
      <c r="B135" s="31" t="str">
        <f t="shared" si="13"/>
        <v>H. Ba Bể</v>
      </c>
      <c r="C135" s="31" t="str">
        <f t="shared" si="25"/>
        <v>X. Phúc Lộc</v>
      </c>
      <c r="D135" s="34"/>
      <c r="E135" s="34" t="s">
        <v>58</v>
      </c>
      <c r="F135" s="31" t="s">
        <v>193</v>
      </c>
      <c r="G135" s="34"/>
      <c r="H135" s="34" t="str">
        <f>IF(LEFT('PL1(Full)'!$F135,4)="Thôn","Thôn","Tổ")</f>
        <v>Thôn</v>
      </c>
      <c r="I135" s="36">
        <v>58</v>
      </c>
      <c r="J135" s="36">
        <v>253</v>
      </c>
      <c r="K135" s="36">
        <v>58</v>
      </c>
      <c r="L135" s="37">
        <f t="shared" si="0"/>
        <v>100</v>
      </c>
      <c r="M135" s="36">
        <v>11</v>
      </c>
      <c r="N135" s="38">
        <f t="shared" si="1"/>
        <v>18.96551724137931</v>
      </c>
      <c r="O135" s="36">
        <v>11</v>
      </c>
      <c r="P135" s="38">
        <f t="shared" si="2"/>
        <v>100</v>
      </c>
      <c r="Q135" s="39" t="s">
        <v>56</v>
      </c>
      <c r="R135" s="39" t="str">
        <f t="shared" si="3"/>
        <v>X</v>
      </c>
      <c r="S135" s="34"/>
      <c r="T135" s="34" t="str">
        <f>IF('PL1(Full)'!$N135&gt;=20,"x",IF(AND('PL1(Full)'!$N135&gt;=15,'PL1(Full)'!$P135&gt;60),"x",""))</f>
        <v>x</v>
      </c>
      <c r="U135" s="34" t="str">
        <f>IF(AND('PL1(Full)'!$H135="Thôn",'PL1(Full)'!$I135&lt;75),"x",IF(AND('PL1(Full)'!$H135="Tổ",'PL1(Full)'!$I135&lt;100),"x","-"))</f>
        <v>x</v>
      </c>
      <c r="V135" s="34" t="str">
        <f>IF(AND('PL1(Full)'!$H135="Thôn",'PL1(Full)'!$I135&lt;140),"x",IF(AND('PL1(Full)'!$H135="Tổ",'PL1(Full)'!$I135&lt;210),"x","-"))</f>
        <v>x</v>
      </c>
      <c r="W135" s="40" t="str">
        <f t="shared" si="14"/>
        <v>Loại 3</v>
      </c>
      <c r="X135" s="31"/>
    </row>
    <row r="136" spans="1:24" ht="15.75" customHeight="1">
      <c r="A136" s="30">
        <f>_xlfn.AGGREGATE(4,7,A$6:A135)+1</f>
        <v>86</v>
      </c>
      <c r="B136" s="31" t="str">
        <f t="shared" si="13"/>
        <v>H. Ba Bể</v>
      </c>
      <c r="C136" s="31" t="str">
        <f t="shared" si="25"/>
        <v>X. Phúc Lộc</v>
      </c>
      <c r="D136" s="34"/>
      <c r="E136" s="34" t="s">
        <v>58</v>
      </c>
      <c r="F136" s="31" t="s">
        <v>194</v>
      </c>
      <c r="G136" s="34"/>
      <c r="H136" s="34" t="str">
        <f>IF(LEFT('PL1(Full)'!$F136,4)="Thôn","Thôn","Tổ")</f>
        <v>Thôn</v>
      </c>
      <c r="I136" s="36">
        <v>45</v>
      </c>
      <c r="J136" s="36">
        <v>213</v>
      </c>
      <c r="K136" s="36">
        <v>45</v>
      </c>
      <c r="L136" s="37">
        <f t="shared" si="0"/>
        <v>100</v>
      </c>
      <c r="M136" s="36">
        <v>19</v>
      </c>
      <c r="N136" s="38">
        <f t="shared" si="1"/>
        <v>42.222222222222221</v>
      </c>
      <c r="O136" s="36">
        <v>19</v>
      </c>
      <c r="P136" s="38">
        <f t="shared" si="2"/>
        <v>100</v>
      </c>
      <c r="Q136" s="39" t="s">
        <v>56</v>
      </c>
      <c r="R136" s="39" t="str">
        <f t="shared" si="3"/>
        <v>X</v>
      </c>
      <c r="S136" s="34" t="s">
        <v>60</v>
      </c>
      <c r="T136" s="34" t="str">
        <f>IF('PL1(Full)'!$N136&gt;=20,"x",IF(AND('PL1(Full)'!$N136&gt;=15,'PL1(Full)'!$P136&gt;60),"x",""))</f>
        <v>x</v>
      </c>
      <c r="U136" s="34" t="str">
        <f>IF(AND('PL1(Full)'!$H136="Thôn",'PL1(Full)'!$I136&lt;75),"x",IF(AND('PL1(Full)'!$H136="Tổ",'PL1(Full)'!$I136&lt;100),"x","-"))</f>
        <v>x</v>
      </c>
      <c r="V136" s="34" t="str">
        <f>IF(AND('PL1(Full)'!$H136="Thôn",'PL1(Full)'!$I136&lt;140),"x",IF(AND('PL1(Full)'!$H136="Tổ",'PL1(Full)'!$I136&lt;210),"x","-"))</f>
        <v>x</v>
      </c>
      <c r="W136" s="40" t="str">
        <f t="shared" si="14"/>
        <v>Loại 3</v>
      </c>
      <c r="X136" s="31"/>
    </row>
    <row r="137" spans="1:24" ht="15.75" customHeight="1">
      <c r="A137" s="30">
        <f>_xlfn.AGGREGATE(4,7,A$6:A136)+1</f>
        <v>87</v>
      </c>
      <c r="B137" s="31" t="str">
        <f t="shared" si="13"/>
        <v>H. Ba Bể</v>
      </c>
      <c r="C137" s="31" t="str">
        <f t="shared" si="25"/>
        <v>X. Phúc Lộc</v>
      </c>
      <c r="D137" s="34"/>
      <c r="E137" s="34" t="s">
        <v>58</v>
      </c>
      <c r="F137" s="31" t="s">
        <v>195</v>
      </c>
      <c r="G137" s="34"/>
      <c r="H137" s="34" t="str">
        <f>IF(LEFT('PL1(Full)'!$F137,4)="Thôn","Thôn","Tổ")</f>
        <v>Thôn</v>
      </c>
      <c r="I137" s="36">
        <v>32</v>
      </c>
      <c r="J137" s="36">
        <v>166</v>
      </c>
      <c r="K137" s="36">
        <v>32</v>
      </c>
      <c r="L137" s="37">
        <f t="shared" si="0"/>
        <v>100</v>
      </c>
      <c r="M137" s="36">
        <v>6</v>
      </c>
      <c r="N137" s="38">
        <f t="shared" si="1"/>
        <v>18.75</v>
      </c>
      <c r="O137" s="36">
        <v>6</v>
      </c>
      <c r="P137" s="38">
        <f t="shared" si="2"/>
        <v>100</v>
      </c>
      <c r="Q137" s="39" t="s">
        <v>56</v>
      </c>
      <c r="R137" s="39" t="str">
        <f t="shared" si="3"/>
        <v>X</v>
      </c>
      <c r="S137" s="34"/>
      <c r="T137" s="34" t="str">
        <f>IF('PL1(Full)'!$N137&gt;=20,"x",IF(AND('PL1(Full)'!$N137&gt;=15,'PL1(Full)'!$P137&gt;60),"x",""))</f>
        <v>x</v>
      </c>
      <c r="U137" s="34" t="str">
        <f>IF(AND('PL1(Full)'!$H137="Thôn",'PL1(Full)'!$I137&lt;75),"x",IF(AND('PL1(Full)'!$H137="Tổ",'PL1(Full)'!$I137&lt;100),"x","-"))</f>
        <v>x</v>
      </c>
      <c r="V137" s="34" t="str">
        <f>IF(AND('PL1(Full)'!$H137="Thôn",'PL1(Full)'!$I137&lt;140),"x",IF(AND('PL1(Full)'!$H137="Tổ",'PL1(Full)'!$I137&lt;210),"x","-"))</f>
        <v>x</v>
      </c>
      <c r="W137" s="40" t="str">
        <f t="shared" si="14"/>
        <v>Loại 3</v>
      </c>
      <c r="X137" s="31"/>
    </row>
    <row r="138" spans="1:24" ht="15.75" customHeight="1">
      <c r="A138" s="30">
        <f>_xlfn.AGGREGATE(4,7,A$6:A137)+1</f>
        <v>88</v>
      </c>
      <c r="B138" s="31" t="str">
        <f t="shared" si="13"/>
        <v>H. Ba Bể</v>
      </c>
      <c r="C138" s="31" t="str">
        <f t="shared" si="25"/>
        <v>X. Phúc Lộc</v>
      </c>
      <c r="D138" s="34"/>
      <c r="E138" s="34" t="s">
        <v>58</v>
      </c>
      <c r="F138" s="31" t="s">
        <v>196</v>
      </c>
      <c r="G138" s="34"/>
      <c r="H138" s="34" t="str">
        <f>IF(LEFT('PL1(Full)'!$F138,4)="Thôn","Thôn","Tổ")</f>
        <v>Thôn</v>
      </c>
      <c r="I138" s="36">
        <v>59</v>
      </c>
      <c r="J138" s="36">
        <v>263</v>
      </c>
      <c r="K138" s="36">
        <v>59</v>
      </c>
      <c r="L138" s="37">
        <f t="shared" si="0"/>
        <v>100</v>
      </c>
      <c r="M138" s="36">
        <v>7</v>
      </c>
      <c r="N138" s="38">
        <f t="shared" si="1"/>
        <v>11.864406779661017</v>
      </c>
      <c r="O138" s="36">
        <v>7</v>
      </c>
      <c r="P138" s="38">
        <f t="shared" si="2"/>
        <v>100</v>
      </c>
      <c r="Q138" s="39" t="s">
        <v>56</v>
      </c>
      <c r="R138" s="39" t="str">
        <f t="shared" si="3"/>
        <v>X</v>
      </c>
      <c r="S138" s="34"/>
      <c r="T138" s="34" t="str">
        <f>IF('PL1(Full)'!$N138&gt;=20,"x",IF(AND('PL1(Full)'!$N138&gt;=15,'PL1(Full)'!$P138&gt;60),"x",""))</f>
        <v/>
      </c>
      <c r="U138" s="34" t="str">
        <f>IF(AND('PL1(Full)'!$H138="Thôn",'PL1(Full)'!$I138&lt;75),"x",IF(AND('PL1(Full)'!$H138="Tổ",'PL1(Full)'!$I138&lt;100),"x","-"))</f>
        <v>x</v>
      </c>
      <c r="V138" s="34" t="str">
        <f>IF(AND('PL1(Full)'!$H138="Thôn",'PL1(Full)'!$I138&lt;140),"x",IF(AND('PL1(Full)'!$H138="Tổ",'PL1(Full)'!$I138&lt;210),"x","-"))</f>
        <v>x</v>
      </c>
      <c r="W138" s="40" t="str">
        <f t="shared" si="14"/>
        <v>Loại 3</v>
      </c>
      <c r="X138" s="31"/>
    </row>
    <row r="139" spans="1:24" ht="15.75" customHeight="1">
      <c r="A139" s="30">
        <f>_xlfn.AGGREGATE(4,7,A$6:A138)+1</f>
        <v>89</v>
      </c>
      <c r="B139" s="31" t="str">
        <f t="shared" si="13"/>
        <v>H. Ba Bể</v>
      </c>
      <c r="C139" s="31" t="str">
        <f t="shared" si="25"/>
        <v>X. Phúc Lộc</v>
      </c>
      <c r="D139" s="34"/>
      <c r="E139" s="34" t="s">
        <v>58</v>
      </c>
      <c r="F139" s="31" t="s">
        <v>197</v>
      </c>
      <c r="G139" s="34" t="s">
        <v>40</v>
      </c>
      <c r="H139" s="34" t="str">
        <f>IF(LEFT('PL1(Full)'!$F139,4)="Thôn","Thôn","Tổ")</f>
        <v>Thôn</v>
      </c>
      <c r="I139" s="36">
        <v>44</v>
      </c>
      <c r="J139" s="36">
        <v>197</v>
      </c>
      <c r="K139" s="36">
        <v>44</v>
      </c>
      <c r="L139" s="37">
        <f t="shared" si="0"/>
        <v>100</v>
      </c>
      <c r="M139" s="36">
        <v>11</v>
      </c>
      <c r="N139" s="38">
        <f t="shared" si="1"/>
        <v>25</v>
      </c>
      <c r="O139" s="36">
        <v>11</v>
      </c>
      <c r="P139" s="38">
        <f t="shared" si="2"/>
        <v>100</v>
      </c>
      <c r="Q139" s="39" t="s">
        <v>56</v>
      </c>
      <c r="R139" s="39" t="str">
        <f t="shared" si="3"/>
        <v>X</v>
      </c>
      <c r="S139" s="34"/>
      <c r="T139" s="34" t="str">
        <f>IF('PL1(Full)'!$N139&gt;=20,"x",IF(AND('PL1(Full)'!$N139&gt;=15,'PL1(Full)'!$P139&gt;60),"x",""))</f>
        <v>x</v>
      </c>
      <c r="U139" s="34" t="str">
        <f>IF(AND('PL1(Full)'!$H139="Thôn",'PL1(Full)'!$I139&lt;75),"x",IF(AND('PL1(Full)'!$H139="Tổ",'PL1(Full)'!$I139&lt;100),"x","-"))</f>
        <v>x</v>
      </c>
      <c r="V139" s="34" t="str">
        <f>IF(AND('PL1(Full)'!$H139="Thôn",'PL1(Full)'!$I139&lt;140),"x",IF(AND('PL1(Full)'!$H139="Tổ",'PL1(Full)'!$I139&lt;210),"x","-"))</f>
        <v>x</v>
      </c>
      <c r="W139" s="40" t="str">
        <f t="shared" si="14"/>
        <v>Loại 3</v>
      </c>
      <c r="X139" s="31"/>
    </row>
    <row r="140" spans="1:24" ht="15.75" customHeight="1">
      <c r="A140" s="30">
        <f>_xlfn.AGGREGATE(4,7,A$6:A139)+1</f>
        <v>90</v>
      </c>
      <c r="B140" s="31" t="str">
        <f t="shared" si="13"/>
        <v>H. Ba Bể</v>
      </c>
      <c r="C140" s="31" t="str">
        <f t="shared" si="25"/>
        <v>X. Phúc Lộc</v>
      </c>
      <c r="D140" s="34"/>
      <c r="E140" s="34" t="s">
        <v>58</v>
      </c>
      <c r="F140" s="31" t="s">
        <v>135</v>
      </c>
      <c r="G140" s="34"/>
      <c r="H140" s="34" t="str">
        <f>IF(LEFT('PL1(Full)'!$F140,4)="Thôn","Thôn","Tổ")</f>
        <v>Thôn</v>
      </c>
      <c r="I140" s="36">
        <v>41</v>
      </c>
      <c r="J140" s="36">
        <v>193</v>
      </c>
      <c r="K140" s="36">
        <v>41</v>
      </c>
      <c r="L140" s="37">
        <f t="shared" si="0"/>
        <v>100</v>
      </c>
      <c r="M140" s="36">
        <v>29</v>
      </c>
      <c r="N140" s="38">
        <f t="shared" si="1"/>
        <v>70.731707317073173</v>
      </c>
      <c r="O140" s="36">
        <v>29</v>
      </c>
      <c r="P140" s="38">
        <f t="shared" si="2"/>
        <v>100</v>
      </c>
      <c r="Q140" s="39" t="s">
        <v>56</v>
      </c>
      <c r="R140" s="39" t="str">
        <f t="shared" si="3"/>
        <v>X</v>
      </c>
      <c r="S140" s="34" t="s">
        <v>60</v>
      </c>
      <c r="T140" s="34" t="str">
        <f>IF('PL1(Full)'!$N140&gt;=20,"x",IF(AND('PL1(Full)'!$N140&gt;=15,'PL1(Full)'!$P140&gt;60),"x",""))</f>
        <v>x</v>
      </c>
      <c r="U140" s="34" t="str">
        <f>IF(AND('PL1(Full)'!$H140="Thôn",'PL1(Full)'!$I140&lt;75),"x",IF(AND('PL1(Full)'!$H140="Tổ",'PL1(Full)'!$I140&lt;100),"x","-"))</f>
        <v>x</v>
      </c>
      <c r="V140" s="34" t="str">
        <f>IF(AND('PL1(Full)'!$H140="Thôn",'PL1(Full)'!$I140&lt;140),"x",IF(AND('PL1(Full)'!$H140="Tổ",'PL1(Full)'!$I140&lt;210),"x","-"))</f>
        <v>x</v>
      </c>
      <c r="W140" s="40" t="str">
        <f t="shared" si="14"/>
        <v>Loại 3</v>
      </c>
      <c r="X140" s="31"/>
    </row>
    <row r="141" spans="1:24" ht="15.75" customHeight="1">
      <c r="A141" s="30">
        <f>_xlfn.AGGREGATE(4,7,A$6:A140)+1</f>
        <v>91</v>
      </c>
      <c r="B141" s="31" t="str">
        <f t="shared" si="13"/>
        <v>H. Ba Bể</v>
      </c>
      <c r="C141" s="31" t="str">
        <f t="shared" si="25"/>
        <v>X. Phúc Lộc</v>
      </c>
      <c r="D141" s="34"/>
      <c r="E141" s="34" t="s">
        <v>58</v>
      </c>
      <c r="F141" s="31" t="s">
        <v>198</v>
      </c>
      <c r="G141" s="34"/>
      <c r="H141" s="34" t="str">
        <f>IF(LEFT('PL1(Full)'!$F141,4)="Thôn","Thôn","Tổ")</f>
        <v>Thôn</v>
      </c>
      <c r="I141" s="36">
        <v>40</v>
      </c>
      <c r="J141" s="36">
        <v>210</v>
      </c>
      <c r="K141" s="36">
        <v>40</v>
      </c>
      <c r="L141" s="37">
        <f t="shared" si="0"/>
        <v>100</v>
      </c>
      <c r="M141" s="36">
        <v>40</v>
      </c>
      <c r="N141" s="38">
        <f t="shared" si="1"/>
        <v>100</v>
      </c>
      <c r="O141" s="36">
        <v>40</v>
      </c>
      <c r="P141" s="38">
        <f t="shared" si="2"/>
        <v>100</v>
      </c>
      <c r="Q141" s="39" t="s">
        <v>52</v>
      </c>
      <c r="R141" s="39" t="str">
        <f t="shared" si="3"/>
        <v>C</v>
      </c>
      <c r="S141" s="34" t="s">
        <v>60</v>
      </c>
      <c r="T141" s="34" t="str">
        <f>IF('PL1(Full)'!$N141&gt;=20,"x",IF(AND('PL1(Full)'!$N141&gt;=15,'PL1(Full)'!$P141&gt;60),"x",""))</f>
        <v>x</v>
      </c>
      <c r="U141" s="34" t="str">
        <f>IF(AND('PL1(Full)'!$H141="Thôn",'PL1(Full)'!$I141&lt;75),"x",IF(AND('PL1(Full)'!$H141="Tổ",'PL1(Full)'!$I141&lt;100),"x","-"))</f>
        <v>x</v>
      </c>
      <c r="V141" s="34" t="str">
        <f>IF(AND('PL1(Full)'!$H141="Thôn",'PL1(Full)'!$I141&lt;140),"x",IF(AND('PL1(Full)'!$H141="Tổ",'PL1(Full)'!$I141&lt;210),"x","-"))</f>
        <v>x</v>
      </c>
      <c r="W141" s="40" t="str">
        <f t="shared" si="14"/>
        <v>Loại 3</v>
      </c>
      <c r="X141" s="31"/>
    </row>
    <row r="142" spans="1:24" ht="15.75" customHeight="1">
      <c r="A142" s="30">
        <f>_xlfn.AGGREGATE(4,7,A$6:A141)+1</f>
        <v>92</v>
      </c>
      <c r="B142" s="31" t="str">
        <f t="shared" si="13"/>
        <v>H. Ba Bể</v>
      </c>
      <c r="C142" s="31" t="str">
        <f t="shared" si="25"/>
        <v>X. Phúc Lộc</v>
      </c>
      <c r="D142" s="34"/>
      <c r="E142" s="34" t="s">
        <v>58</v>
      </c>
      <c r="F142" s="31" t="s">
        <v>199</v>
      </c>
      <c r="G142" s="34"/>
      <c r="H142" s="34" t="str">
        <f>IF(LEFT('PL1(Full)'!$F142,4)="Thôn","Thôn","Tổ")</f>
        <v>Thôn</v>
      </c>
      <c r="I142" s="36">
        <v>37</v>
      </c>
      <c r="J142" s="36">
        <v>183</v>
      </c>
      <c r="K142" s="36">
        <v>37</v>
      </c>
      <c r="L142" s="37">
        <f t="shared" si="0"/>
        <v>100</v>
      </c>
      <c r="M142" s="36">
        <v>35</v>
      </c>
      <c r="N142" s="38">
        <f t="shared" si="1"/>
        <v>94.594594594594597</v>
      </c>
      <c r="O142" s="36">
        <v>35</v>
      </c>
      <c r="P142" s="38">
        <f t="shared" si="2"/>
        <v>100</v>
      </c>
      <c r="Q142" s="39" t="s">
        <v>52</v>
      </c>
      <c r="R142" s="39" t="str">
        <f t="shared" si="3"/>
        <v>C</v>
      </c>
      <c r="S142" s="34" t="s">
        <v>60</v>
      </c>
      <c r="T142" s="34" t="str">
        <f>IF('PL1(Full)'!$N142&gt;=20,"x",IF(AND('PL1(Full)'!$N142&gt;=15,'PL1(Full)'!$P142&gt;60),"x",""))</f>
        <v>x</v>
      </c>
      <c r="U142" s="34" t="str">
        <f>IF(AND('PL1(Full)'!$H142="Thôn",'PL1(Full)'!$I142&lt;75),"x",IF(AND('PL1(Full)'!$H142="Tổ",'PL1(Full)'!$I142&lt;100),"x","-"))</f>
        <v>x</v>
      </c>
      <c r="V142" s="34" t="str">
        <f>IF(AND('PL1(Full)'!$H142="Thôn",'PL1(Full)'!$I142&lt;140),"x",IF(AND('PL1(Full)'!$H142="Tổ",'PL1(Full)'!$I142&lt;210),"x","-"))</f>
        <v>x</v>
      </c>
      <c r="W142" s="40" t="str">
        <f t="shared" si="14"/>
        <v>Loại 3</v>
      </c>
      <c r="X142" s="31"/>
    </row>
    <row r="143" spans="1:24" ht="15.75" customHeight="1">
      <c r="A143" s="30">
        <f>_xlfn.AGGREGATE(4,7,A$6:A142)+1</f>
        <v>93</v>
      </c>
      <c r="B143" s="31" t="str">
        <f t="shared" si="13"/>
        <v>H. Ba Bể</v>
      </c>
      <c r="C143" s="31" t="str">
        <f t="shared" si="25"/>
        <v>X. Phúc Lộc</v>
      </c>
      <c r="D143" s="34"/>
      <c r="E143" s="34" t="s">
        <v>58</v>
      </c>
      <c r="F143" s="31" t="s">
        <v>200</v>
      </c>
      <c r="G143" s="34"/>
      <c r="H143" s="34" t="str">
        <f>IF(LEFT('PL1(Full)'!$F143,4)="Thôn","Thôn","Tổ")</f>
        <v>Thôn</v>
      </c>
      <c r="I143" s="36">
        <v>38</v>
      </c>
      <c r="J143" s="36">
        <v>187</v>
      </c>
      <c r="K143" s="36">
        <v>38</v>
      </c>
      <c r="L143" s="37">
        <f t="shared" si="0"/>
        <v>100</v>
      </c>
      <c r="M143" s="36">
        <v>13</v>
      </c>
      <c r="N143" s="38">
        <f t="shared" si="1"/>
        <v>34.210526315789473</v>
      </c>
      <c r="O143" s="36">
        <v>13</v>
      </c>
      <c r="P143" s="38">
        <f t="shared" si="2"/>
        <v>100</v>
      </c>
      <c r="Q143" s="39" t="s">
        <v>63</v>
      </c>
      <c r="R143" s="39" t="str">
        <f t="shared" si="3"/>
        <v>X</v>
      </c>
      <c r="S143" s="34" t="s">
        <v>60</v>
      </c>
      <c r="T143" s="34" t="str">
        <f>IF('PL1(Full)'!$N143&gt;=20,"x",IF(AND('PL1(Full)'!$N143&gt;=15,'PL1(Full)'!$P143&gt;60),"x",""))</f>
        <v>x</v>
      </c>
      <c r="U143" s="34" t="str">
        <f>IF(AND('PL1(Full)'!$H143="Thôn",'PL1(Full)'!$I143&lt;75),"x",IF(AND('PL1(Full)'!$H143="Tổ",'PL1(Full)'!$I143&lt;100),"x","-"))</f>
        <v>x</v>
      </c>
      <c r="V143" s="34" t="str">
        <f>IF(AND('PL1(Full)'!$H143="Thôn",'PL1(Full)'!$I143&lt;140),"x",IF(AND('PL1(Full)'!$H143="Tổ",'PL1(Full)'!$I143&lt;210),"x","-"))</f>
        <v>x</v>
      </c>
      <c r="W143" s="40" t="str">
        <f t="shared" si="14"/>
        <v>Loại 3</v>
      </c>
      <c r="X143" s="31"/>
    </row>
    <row r="144" spans="1:24" ht="15.75" customHeight="1">
      <c r="A144" s="30">
        <f>_xlfn.AGGREGATE(4,7,A$6:A143)+1</f>
        <v>94</v>
      </c>
      <c r="B144" s="31" t="str">
        <f t="shared" si="13"/>
        <v>H. Ba Bể</v>
      </c>
      <c r="C144" s="31" t="str">
        <f t="shared" si="25"/>
        <v>X. Phúc Lộc</v>
      </c>
      <c r="D144" s="34"/>
      <c r="E144" s="34" t="s">
        <v>58</v>
      </c>
      <c r="F144" s="31" t="s">
        <v>201</v>
      </c>
      <c r="G144" s="34"/>
      <c r="H144" s="34" t="str">
        <f>IF(LEFT('PL1(Full)'!$F144,4)="Thôn","Thôn","Tổ")</f>
        <v>Thôn</v>
      </c>
      <c r="I144" s="36">
        <v>55</v>
      </c>
      <c r="J144" s="36">
        <v>217</v>
      </c>
      <c r="K144" s="36">
        <v>55</v>
      </c>
      <c r="L144" s="37">
        <f t="shared" si="0"/>
        <v>100</v>
      </c>
      <c r="M144" s="36">
        <v>26</v>
      </c>
      <c r="N144" s="38">
        <f t="shared" si="1"/>
        <v>47.272727272727273</v>
      </c>
      <c r="O144" s="36">
        <v>26</v>
      </c>
      <c r="P144" s="38">
        <f t="shared" si="2"/>
        <v>100</v>
      </c>
      <c r="Q144" s="39" t="s">
        <v>56</v>
      </c>
      <c r="R144" s="39" t="str">
        <f t="shared" si="3"/>
        <v>X</v>
      </c>
      <c r="S144" s="34" t="s">
        <v>60</v>
      </c>
      <c r="T144" s="34" t="str">
        <f>IF('PL1(Full)'!$N144&gt;=20,"x",IF(AND('PL1(Full)'!$N144&gt;=15,'PL1(Full)'!$P144&gt;60),"x",""))</f>
        <v>x</v>
      </c>
      <c r="U144" s="34" t="str">
        <f>IF(AND('PL1(Full)'!$H144="Thôn",'PL1(Full)'!$I144&lt;75),"x",IF(AND('PL1(Full)'!$H144="Tổ",'PL1(Full)'!$I144&lt;100),"x","-"))</f>
        <v>x</v>
      </c>
      <c r="V144" s="34" t="str">
        <f>IF(AND('PL1(Full)'!$H144="Thôn",'PL1(Full)'!$I144&lt;140),"x",IF(AND('PL1(Full)'!$H144="Tổ",'PL1(Full)'!$I144&lt;210),"x","-"))</f>
        <v>x</v>
      </c>
      <c r="W144" s="40" t="str">
        <f t="shared" si="14"/>
        <v>Loại 3</v>
      </c>
      <c r="X144" s="31"/>
    </row>
    <row r="145" spans="1:24" ht="15.75" hidden="1" customHeight="1">
      <c r="A145" s="30">
        <f>_xlfn.AGGREGATE(4,7,A$6:A144)+1</f>
        <v>95</v>
      </c>
      <c r="B145" s="31" t="str">
        <f t="shared" si="13"/>
        <v>H. Ba Bể</v>
      </c>
      <c r="C145" s="31" t="str">
        <f t="shared" si="25"/>
        <v>X. Phúc Lộc</v>
      </c>
      <c r="D145" s="34"/>
      <c r="E145" s="34" t="s">
        <v>58</v>
      </c>
      <c r="F145" s="31" t="s">
        <v>202</v>
      </c>
      <c r="G145" s="34"/>
      <c r="H145" s="34" t="str">
        <f>IF(LEFT('PL1(Full)'!$F145,4)="Thôn","Thôn","Tổ")</f>
        <v>Thôn</v>
      </c>
      <c r="I145" s="36">
        <v>93</v>
      </c>
      <c r="J145" s="36">
        <v>412</v>
      </c>
      <c r="K145" s="36">
        <v>93</v>
      </c>
      <c r="L145" s="37">
        <f t="shared" si="0"/>
        <v>100</v>
      </c>
      <c r="M145" s="36">
        <v>16</v>
      </c>
      <c r="N145" s="38">
        <f t="shared" si="1"/>
        <v>17.204301075268816</v>
      </c>
      <c r="O145" s="36">
        <v>16</v>
      </c>
      <c r="P145" s="38">
        <f t="shared" si="2"/>
        <v>100</v>
      </c>
      <c r="Q145" s="39" t="s">
        <v>49</v>
      </c>
      <c r="R145" s="39" t="str">
        <f t="shared" si="3"/>
        <v>X</v>
      </c>
      <c r="S145" s="34"/>
      <c r="T145" s="34" t="str">
        <f>IF('PL1(Full)'!$N145&gt;=20,"x",IF(AND('PL1(Full)'!$N145&gt;=15,'PL1(Full)'!$P145&gt;60),"x",""))</f>
        <v>x</v>
      </c>
      <c r="U145" s="34" t="str">
        <f>IF(AND('PL1(Full)'!$H145="Thôn",'PL1(Full)'!$I145&lt;75),"x",IF(AND('PL1(Full)'!$H145="Tổ",'PL1(Full)'!$I145&lt;100),"x","-"))</f>
        <v>-</v>
      </c>
      <c r="V145" s="34" t="str">
        <f>IF(AND('PL1(Full)'!$H145="Thôn",'PL1(Full)'!$I145&lt;140),"x",IF(AND('PL1(Full)'!$H145="Tổ",'PL1(Full)'!$I145&lt;210),"x","-"))</f>
        <v>x</v>
      </c>
      <c r="W145" s="40" t="str">
        <f t="shared" si="14"/>
        <v>Loại 3</v>
      </c>
      <c r="X145" s="31"/>
    </row>
    <row r="146" spans="1:24" ht="15.75" customHeight="1">
      <c r="A146" s="41">
        <f>_xlfn.AGGREGATE(4,7,A$6:A145)+1</f>
        <v>95</v>
      </c>
      <c r="B146" s="42" t="str">
        <f t="shared" si="13"/>
        <v>H. Ba Bể</v>
      </c>
      <c r="C146" s="42" t="str">
        <f t="shared" si="25"/>
        <v>X. Phúc Lộc</v>
      </c>
      <c r="D146" s="50"/>
      <c r="E146" s="50" t="s">
        <v>58</v>
      </c>
      <c r="F146" s="42" t="s">
        <v>203</v>
      </c>
      <c r="G146" s="50"/>
      <c r="H146" s="50" t="str">
        <f>IF(LEFT('PL1(Full)'!$F146,4)="Thôn","Thôn","Tổ")</f>
        <v>Thôn</v>
      </c>
      <c r="I146" s="46">
        <v>42</v>
      </c>
      <c r="J146" s="46">
        <v>193</v>
      </c>
      <c r="K146" s="46">
        <v>42</v>
      </c>
      <c r="L146" s="47">
        <f t="shared" si="0"/>
        <v>100</v>
      </c>
      <c r="M146" s="46">
        <v>38</v>
      </c>
      <c r="N146" s="48">
        <f t="shared" si="1"/>
        <v>90.476190476190482</v>
      </c>
      <c r="O146" s="46">
        <v>38</v>
      </c>
      <c r="P146" s="48">
        <f t="shared" si="2"/>
        <v>100</v>
      </c>
      <c r="Q146" s="49" t="s">
        <v>52</v>
      </c>
      <c r="R146" s="49" t="str">
        <f t="shared" si="3"/>
        <v>C</v>
      </c>
      <c r="S146" s="50" t="s">
        <v>60</v>
      </c>
      <c r="T146" s="50" t="str">
        <f>IF('PL1(Full)'!$N146&gt;=20,"x",IF(AND('PL1(Full)'!$N146&gt;=15,'PL1(Full)'!$P146&gt;60),"x",""))</f>
        <v>x</v>
      </c>
      <c r="U146" s="50" t="str">
        <f>IF(AND('PL1(Full)'!$H146="Thôn",'PL1(Full)'!$I146&lt;75),"x",IF(AND('PL1(Full)'!$H146="Tổ",'PL1(Full)'!$I146&lt;100),"x","-"))</f>
        <v>x</v>
      </c>
      <c r="V146" s="34" t="str">
        <f>IF(AND('PL1(Full)'!$H146="Thôn",'PL1(Full)'!$I146&lt;140),"x",IF(AND('PL1(Full)'!$H146="Tổ",'PL1(Full)'!$I146&lt;210),"x","-"))</f>
        <v>x</v>
      </c>
      <c r="W146" s="51" t="str">
        <f t="shared" si="14"/>
        <v>Loại 3</v>
      </c>
      <c r="X146" s="42"/>
    </row>
    <row r="147" spans="1:24" ht="15.75" customHeight="1">
      <c r="A147" s="52">
        <f>_xlfn.AGGREGATE(4,7,A$6:A146)+1</f>
        <v>96</v>
      </c>
      <c r="B147" s="14" t="str">
        <f t="shared" si="13"/>
        <v>H. Ba Bể</v>
      </c>
      <c r="C147" s="14" t="s">
        <v>204</v>
      </c>
      <c r="D147" s="25" t="s">
        <v>58</v>
      </c>
      <c r="E147" s="25" t="s">
        <v>58</v>
      </c>
      <c r="F147" s="14" t="s">
        <v>205</v>
      </c>
      <c r="G147" s="25"/>
      <c r="H147" s="25" t="str">
        <f>IF(LEFT('PL1(Full)'!$F147,4)="Thôn","Thôn","Tổ")</f>
        <v>Thôn</v>
      </c>
      <c r="I147" s="20">
        <v>67</v>
      </c>
      <c r="J147" s="20">
        <v>291</v>
      </c>
      <c r="K147" s="20">
        <v>67</v>
      </c>
      <c r="L147" s="21">
        <f t="shared" si="0"/>
        <v>100</v>
      </c>
      <c r="M147" s="20">
        <v>10</v>
      </c>
      <c r="N147" s="22">
        <f t="shared" si="1"/>
        <v>14.925373134328359</v>
      </c>
      <c r="O147" s="20">
        <v>10</v>
      </c>
      <c r="P147" s="22">
        <f t="shared" si="2"/>
        <v>100</v>
      </c>
      <c r="Q147" s="23" t="s">
        <v>56</v>
      </c>
      <c r="R147" s="24" t="str">
        <f t="shared" si="3"/>
        <v>X</v>
      </c>
      <c r="S147" s="25"/>
      <c r="T147" s="26" t="str">
        <f>IF('PL1(Full)'!$N147&gt;=20,"x",IF(AND('PL1(Full)'!$N147&gt;=15,'PL1(Full)'!$P147&gt;60),"x",""))</f>
        <v/>
      </c>
      <c r="U147" s="27" t="str">
        <f>IF(AND('PL1(Full)'!$H147="Thôn",'PL1(Full)'!$I147&lt;75),"x",IF(AND('PL1(Full)'!$H147="Tổ",'PL1(Full)'!$I147&lt;100),"x","-"))</f>
        <v>x</v>
      </c>
      <c r="V147" s="28" t="str">
        <f>IF(AND('PL1(Full)'!$H147="Thôn",'PL1(Full)'!$I147&lt;140),"x",IF(AND('PL1(Full)'!$H147="Tổ",'PL1(Full)'!$I147&lt;210),"x","-"))</f>
        <v>x</v>
      </c>
      <c r="W147" s="29" t="str">
        <f t="shared" si="14"/>
        <v>Loại 3</v>
      </c>
      <c r="X147" s="14"/>
    </row>
    <row r="148" spans="1:24" ht="15.75" customHeight="1">
      <c r="A148" s="30">
        <f>_xlfn.AGGREGATE(4,7,A$6:A147)+1</f>
        <v>97</v>
      </c>
      <c r="B148" s="31" t="str">
        <f t="shared" si="13"/>
        <v>H. Ba Bể</v>
      </c>
      <c r="C148" s="31" t="str">
        <f t="shared" ref="C148:C157" si="26">C147</f>
        <v>X. Quảng Khê</v>
      </c>
      <c r="D148" s="34"/>
      <c r="E148" s="34" t="s">
        <v>58</v>
      </c>
      <c r="F148" s="31" t="s">
        <v>206</v>
      </c>
      <c r="G148" s="34"/>
      <c r="H148" s="34" t="str">
        <f>IF(LEFT('PL1(Full)'!$F148,4)="Thôn","Thôn","Tổ")</f>
        <v>Thôn</v>
      </c>
      <c r="I148" s="36">
        <v>69</v>
      </c>
      <c r="J148" s="36">
        <v>303</v>
      </c>
      <c r="K148" s="36">
        <v>68</v>
      </c>
      <c r="L148" s="37">
        <f t="shared" si="0"/>
        <v>98.550724637681157</v>
      </c>
      <c r="M148" s="36">
        <v>14</v>
      </c>
      <c r="N148" s="38">
        <f t="shared" si="1"/>
        <v>20.289855072463769</v>
      </c>
      <c r="O148" s="36">
        <v>14</v>
      </c>
      <c r="P148" s="38">
        <f t="shared" si="2"/>
        <v>100</v>
      </c>
      <c r="Q148" s="39" t="s">
        <v>56</v>
      </c>
      <c r="R148" s="39" t="str">
        <f t="shared" si="3"/>
        <v>X</v>
      </c>
      <c r="S148" s="34"/>
      <c r="T148" s="34" t="str">
        <f>IF('PL1(Full)'!$N148&gt;=20,"x",IF(AND('PL1(Full)'!$N148&gt;=15,'PL1(Full)'!$P148&gt;60),"x",""))</f>
        <v>x</v>
      </c>
      <c r="U148" s="34" t="str">
        <f>IF(AND('PL1(Full)'!$H148="Thôn",'PL1(Full)'!$I148&lt;75),"x",IF(AND('PL1(Full)'!$H148="Tổ",'PL1(Full)'!$I148&lt;100),"x","-"))</f>
        <v>x</v>
      </c>
      <c r="V148" s="34" t="str">
        <f>IF(AND('PL1(Full)'!$H148="Thôn",'PL1(Full)'!$I148&lt;140),"x",IF(AND('PL1(Full)'!$H148="Tổ",'PL1(Full)'!$I148&lt;210),"x","-"))</f>
        <v>x</v>
      </c>
      <c r="W148" s="40" t="str">
        <f t="shared" si="14"/>
        <v>Loại 3</v>
      </c>
      <c r="X148" s="31"/>
    </row>
    <row r="149" spans="1:24" ht="15.75" hidden="1" customHeight="1">
      <c r="A149" s="30">
        <f>_xlfn.AGGREGATE(4,7,A$6:A148)+1</f>
        <v>98</v>
      </c>
      <c r="B149" s="31" t="str">
        <f t="shared" si="13"/>
        <v>H. Ba Bể</v>
      </c>
      <c r="C149" s="31" t="str">
        <f t="shared" si="26"/>
        <v>X. Quảng Khê</v>
      </c>
      <c r="D149" s="34"/>
      <c r="E149" s="34" t="s">
        <v>58</v>
      </c>
      <c r="F149" s="31" t="s">
        <v>207</v>
      </c>
      <c r="G149" s="34"/>
      <c r="H149" s="34" t="str">
        <f>IF(LEFT('PL1(Full)'!$F149,4)="Thôn","Thôn","Tổ")</f>
        <v>Thôn</v>
      </c>
      <c r="I149" s="36">
        <v>152</v>
      </c>
      <c r="J149" s="36">
        <v>632</v>
      </c>
      <c r="K149" s="36">
        <v>148</v>
      </c>
      <c r="L149" s="37">
        <f t="shared" si="0"/>
        <v>97.368421052631575</v>
      </c>
      <c r="M149" s="36">
        <v>27</v>
      </c>
      <c r="N149" s="38">
        <f t="shared" si="1"/>
        <v>17.763157894736842</v>
      </c>
      <c r="O149" s="36">
        <v>27</v>
      </c>
      <c r="P149" s="38">
        <f t="shared" si="2"/>
        <v>100</v>
      </c>
      <c r="Q149" s="39" t="s">
        <v>49</v>
      </c>
      <c r="R149" s="39" t="str">
        <f t="shared" si="3"/>
        <v>X</v>
      </c>
      <c r="S149" s="34" t="s">
        <v>60</v>
      </c>
      <c r="T149" s="34" t="str">
        <f>IF('PL1(Full)'!$N149&gt;=20,"x",IF(AND('PL1(Full)'!$N149&gt;=15,'PL1(Full)'!$P149&gt;60),"x",""))</f>
        <v>x</v>
      </c>
      <c r="U149" s="34" t="str">
        <f>IF(AND('PL1(Full)'!$H149="Thôn",'PL1(Full)'!$I149&lt;75),"x",IF(AND('PL1(Full)'!$H149="Tổ",'PL1(Full)'!$I149&lt;100),"x","-"))</f>
        <v>-</v>
      </c>
      <c r="V149" s="34" t="str">
        <f>IF(AND('PL1(Full)'!$H149="Thôn",'PL1(Full)'!$I149&lt;140),"x",IF(AND('PL1(Full)'!$H149="Tổ",'PL1(Full)'!$I149&lt;210),"x","-"))</f>
        <v>-</v>
      </c>
      <c r="W149" s="40" t="str">
        <f t="shared" si="14"/>
        <v>Loại 1</v>
      </c>
      <c r="X149" s="31"/>
    </row>
    <row r="150" spans="1:24" ht="15.75" customHeight="1">
      <c r="A150" s="30">
        <f>_xlfn.AGGREGATE(4,7,A$6:A149)+1</f>
        <v>98</v>
      </c>
      <c r="B150" s="31" t="str">
        <f t="shared" si="13"/>
        <v>H. Ba Bể</v>
      </c>
      <c r="C150" s="31" t="str">
        <f t="shared" si="26"/>
        <v>X. Quảng Khê</v>
      </c>
      <c r="D150" s="34"/>
      <c r="E150" s="34" t="s">
        <v>58</v>
      </c>
      <c r="F150" s="31" t="s">
        <v>208</v>
      </c>
      <c r="G150" s="34"/>
      <c r="H150" s="34" t="str">
        <f>IF(LEFT('PL1(Full)'!$F150,4)="Thôn","Thôn","Tổ")</f>
        <v>Thôn</v>
      </c>
      <c r="I150" s="36">
        <v>51</v>
      </c>
      <c r="J150" s="36">
        <v>204</v>
      </c>
      <c r="K150" s="36">
        <v>51</v>
      </c>
      <c r="L150" s="37">
        <f t="shared" si="0"/>
        <v>100</v>
      </c>
      <c r="M150" s="36">
        <v>15</v>
      </c>
      <c r="N150" s="38">
        <f t="shared" si="1"/>
        <v>29.411764705882351</v>
      </c>
      <c r="O150" s="36">
        <v>15</v>
      </c>
      <c r="P150" s="38">
        <f t="shared" si="2"/>
        <v>100</v>
      </c>
      <c r="Q150" s="39" t="s">
        <v>63</v>
      </c>
      <c r="R150" s="39" t="str">
        <f t="shared" si="3"/>
        <v>X</v>
      </c>
      <c r="S150" s="34" t="s">
        <v>60</v>
      </c>
      <c r="T150" s="34" t="str">
        <f>IF('PL1(Full)'!$N150&gt;=20,"x",IF(AND('PL1(Full)'!$N150&gt;=15,'PL1(Full)'!$P150&gt;60),"x",""))</f>
        <v>x</v>
      </c>
      <c r="U150" s="34" t="str">
        <f>IF(AND('PL1(Full)'!$H150="Thôn",'PL1(Full)'!$I150&lt;75),"x",IF(AND('PL1(Full)'!$H150="Tổ",'PL1(Full)'!$I150&lt;100),"x","-"))</f>
        <v>x</v>
      </c>
      <c r="V150" s="34" t="str">
        <f>IF(AND('PL1(Full)'!$H150="Thôn",'PL1(Full)'!$I150&lt;140),"x",IF(AND('PL1(Full)'!$H150="Tổ",'PL1(Full)'!$I150&lt;210),"x","-"))</f>
        <v>x</v>
      </c>
      <c r="W150" s="40" t="str">
        <f t="shared" si="14"/>
        <v>Loại 3</v>
      </c>
      <c r="X150" s="31"/>
    </row>
    <row r="151" spans="1:24" ht="15.75" customHeight="1">
      <c r="A151" s="30">
        <f>_xlfn.AGGREGATE(4,7,A$6:A150)+1</f>
        <v>99</v>
      </c>
      <c r="B151" s="31" t="str">
        <f t="shared" si="13"/>
        <v>H. Ba Bể</v>
      </c>
      <c r="C151" s="31" t="str">
        <f t="shared" si="26"/>
        <v>X. Quảng Khê</v>
      </c>
      <c r="D151" s="34"/>
      <c r="E151" s="34" t="s">
        <v>58</v>
      </c>
      <c r="F151" s="31" t="s">
        <v>209</v>
      </c>
      <c r="G151" s="34"/>
      <c r="H151" s="34" t="str">
        <f>IF(LEFT('PL1(Full)'!$F151,4)="Thôn","Thôn","Tổ")</f>
        <v>Thôn</v>
      </c>
      <c r="I151" s="36">
        <v>32</v>
      </c>
      <c r="J151" s="36">
        <v>132</v>
      </c>
      <c r="K151" s="36">
        <v>32</v>
      </c>
      <c r="L151" s="37">
        <f t="shared" si="0"/>
        <v>100</v>
      </c>
      <c r="M151" s="36">
        <v>7</v>
      </c>
      <c r="N151" s="38">
        <f t="shared" si="1"/>
        <v>21.875</v>
      </c>
      <c r="O151" s="36">
        <v>7</v>
      </c>
      <c r="P151" s="38">
        <f t="shared" si="2"/>
        <v>100</v>
      </c>
      <c r="Q151" s="39" t="s">
        <v>63</v>
      </c>
      <c r="R151" s="39" t="str">
        <f t="shared" si="3"/>
        <v>X</v>
      </c>
      <c r="S151" s="34" t="s">
        <v>60</v>
      </c>
      <c r="T151" s="34" t="str">
        <f>IF('PL1(Full)'!$N151&gt;=20,"x",IF(AND('PL1(Full)'!$N151&gt;=15,'PL1(Full)'!$P151&gt;60),"x",""))</f>
        <v>x</v>
      </c>
      <c r="U151" s="34" t="str">
        <f>IF(AND('PL1(Full)'!$H151="Thôn",'PL1(Full)'!$I151&lt;75),"x",IF(AND('PL1(Full)'!$H151="Tổ",'PL1(Full)'!$I151&lt;100),"x","-"))</f>
        <v>x</v>
      </c>
      <c r="V151" s="34" t="str">
        <f>IF(AND('PL1(Full)'!$H151="Thôn",'PL1(Full)'!$I151&lt;140),"x",IF(AND('PL1(Full)'!$H151="Tổ",'PL1(Full)'!$I151&lt;210),"x","-"))</f>
        <v>x</v>
      </c>
      <c r="W151" s="40" t="str">
        <f t="shared" si="14"/>
        <v>Loại 3</v>
      </c>
      <c r="X151" s="31"/>
    </row>
    <row r="152" spans="1:24" ht="15.75" hidden="1" customHeight="1">
      <c r="A152" s="30">
        <f>_xlfn.AGGREGATE(4,7,A$6:A151)+1</f>
        <v>100</v>
      </c>
      <c r="B152" s="31" t="str">
        <f t="shared" si="13"/>
        <v>H. Ba Bể</v>
      </c>
      <c r="C152" s="31" t="str">
        <f t="shared" si="26"/>
        <v>X. Quảng Khê</v>
      </c>
      <c r="D152" s="34"/>
      <c r="E152" s="34" t="s">
        <v>58</v>
      </c>
      <c r="F152" s="31" t="s">
        <v>210</v>
      </c>
      <c r="G152" s="34"/>
      <c r="H152" s="34" t="str">
        <f>IF(LEFT('PL1(Full)'!$F152,4)="Thôn","Thôn","Tổ")</f>
        <v>Thôn</v>
      </c>
      <c r="I152" s="36">
        <v>109</v>
      </c>
      <c r="J152" s="36">
        <v>463</v>
      </c>
      <c r="K152" s="36">
        <v>109</v>
      </c>
      <c r="L152" s="37">
        <f t="shared" si="0"/>
        <v>100</v>
      </c>
      <c r="M152" s="36">
        <v>13</v>
      </c>
      <c r="N152" s="38">
        <f t="shared" si="1"/>
        <v>11.926605504587156</v>
      </c>
      <c r="O152" s="36">
        <v>13</v>
      </c>
      <c r="P152" s="38">
        <f t="shared" si="2"/>
        <v>100</v>
      </c>
      <c r="Q152" s="39" t="s">
        <v>56</v>
      </c>
      <c r="R152" s="39" t="str">
        <f t="shared" si="3"/>
        <v>X</v>
      </c>
      <c r="S152" s="34"/>
      <c r="T152" s="34" t="str">
        <f>IF('PL1(Full)'!$N152&gt;=20,"x",IF(AND('PL1(Full)'!$N152&gt;=15,'PL1(Full)'!$P152&gt;60),"x",""))</f>
        <v/>
      </c>
      <c r="U152" s="34" t="str">
        <f>IF(AND('PL1(Full)'!$H152="Thôn",'PL1(Full)'!$I152&lt;75),"x",IF(AND('PL1(Full)'!$H152="Tổ",'PL1(Full)'!$I152&lt;100),"x","-"))</f>
        <v>-</v>
      </c>
      <c r="V152" s="34" t="str">
        <f>IF(AND('PL1(Full)'!$H152="Thôn",'PL1(Full)'!$I152&lt;140),"x",IF(AND('PL1(Full)'!$H152="Tổ",'PL1(Full)'!$I152&lt;210),"x","-"))</f>
        <v>x</v>
      </c>
      <c r="W152" s="40" t="str">
        <f t="shared" si="14"/>
        <v>Loại 2</v>
      </c>
      <c r="X152" s="31"/>
    </row>
    <row r="153" spans="1:24" ht="15.75" hidden="1" customHeight="1">
      <c r="A153" s="30">
        <f>_xlfn.AGGREGATE(4,7,A$6:A152)+1</f>
        <v>100</v>
      </c>
      <c r="B153" s="31" t="str">
        <f t="shared" si="13"/>
        <v>H. Ba Bể</v>
      </c>
      <c r="C153" s="31" t="str">
        <f t="shared" si="26"/>
        <v>X. Quảng Khê</v>
      </c>
      <c r="D153" s="34"/>
      <c r="E153" s="34" t="s">
        <v>58</v>
      </c>
      <c r="F153" s="31" t="s">
        <v>211</v>
      </c>
      <c r="G153" s="34"/>
      <c r="H153" s="34" t="str">
        <f>IF(LEFT('PL1(Full)'!$F153,4)="Thôn","Thôn","Tổ")</f>
        <v>Thôn</v>
      </c>
      <c r="I153" s="36">
        <v>101</v>
      </c>
      <c r="J153" s="36">
        <v>436</v>
      </c>
      <c r="K153" s="36">
        <v>101</v>
      </c>
      <c r="L153" s="37">
        <f t="shared" si="0"/>
        <v>100</v>
      </c>
      <c r="M153" s="36">
        <v>29</v>
      </c>
      <c r="N153" s="38">
        <f t="shared" si="1"/>
        <v>28.712871287128714</v>
      </c>
      <c r="O153" s="36">
        <v>29</v>
      </c>
      <c r="P153" s="38">
        <f t="shared" si="2"/>
        <v>100</v>
      </c>
      <c r="Q153" s="39" t="s">
        <v>49</v>
      </c>
      <c r="R153" s="39" t="str">
        <f t="shared" si="3"/>
        <v>X</v>
      </c>
      <c r="S153" s="34" t="s">
        <v>60</v>
      </c>
      <c r="T153" s="34" t="str">
        <f>IF('PL1(Full)'!$N153&gt;=20,"x",IF(AND('PL1(Full)'!$N153&gt;=15,'PL1(Full)'!$P153&gt;60),"x",""))</f>
        <v>x</v>
      </c>
      <c r="U153" s="34" t="str">
        <f>IF(AND('PL1(Full)'!$H153="Thôn",'PL1(Full)'!$I153&lt;75),"x",IF(AND('PL1(Full)'!$H153="Tổ",'PL1(Full)'!$I153&lt;100),"x","-"))</f>
        <v>-</v>
      </c>
      <c r="V153" s="34" t="str">
        <f>IF(AND('PL1(Full)'!$H153="Thôn",'PL1(Full)'!$I153&lt;140),"x",IF(AND('PL1(Full)'!$H153="Tổ",'PL1(Full)'!$I153&lt;210),"x","-"))</f>
        <v>x</v>
      </c>
      <c r="W153" s="40" t="str">
        <f t="shared" si="14"/>
        <v>Loại 2</v>
      </c>
      <c r="X153" s="31"/>
    </row>
    <row r="154" spans="1:24" ht="15.75" hidden="1" customHeight="1">
      <c r="A154" s="30">
        <f>_xlfn.AGGREGATE(4,7,A$6:A153)+1</f>
        <v>100</v>
      </c>
      <c r="B154" s="31" t="str">
        <f t="shared" si="13"/>
        <v>H. Ba Bể</v>
      </c>
      <c r="C154" s="31" t="str">
        <f t="shared" si="26"/>
        <v>X. Quảng Khê</v>
      </c>
      <c r="D154" s="34"/>
      <c r="E154" s="34" t="s">
        <v>58</v>
      </c>
      <c r="F154" s="31" t="s">
        <v>212</v>
      </c>
      <c r="G154" s="34"/>
      <c r="H154" s="34" t="str">
        <f>IF(LEFT('PL1(Full)'!$F154,4)="Thôn","Thôn","Tổ")</f>
        <v>Thôn</v>
      </c>
      <c r="I154" s="36">
        <v>92</v>
      </c>
      <c r="J154" s="36">
        <v>405</v>
      </c>
      <c r="K154" s="36">
        <v>86</v>
      </c>
      <c r="L154" s="37">
        <f t="shared" si="0"/>
        <v>93.478260869565219</v>
      </c>
      <c r="M154" s="36">
        <v>31</v>
      </c>
      <c r="N154" s="38">
        <f t="shared" si="1"/>
        <v>33.695652173913047</v>
      </c>
      <c r="O154" s="36">
        <v>31</v>
      </c>
      <c r="P154" s="38">
        <f t="shared" si="2"/>
        <v>100</v>
      </c>
      <c r="Q154" s="39" t="s">
        <v>56</v>
      </c>
      <c r="R154" s="39" t="str">
        <f t="shared" si="3"/>
        <v>X</v>
      </c>
      <c r="S154" s="34" t="s">
        <v>60</v>
      </c>
      <c r="T154" s="34" t="str">
        <f>IF('PL1(Full)'!$N154&gt;=20,"x",IF(AND('PL1(Full)'!$N154&gt;=15,'PL1(Full)'!$P154&gt;60),"x",""))</f>
        <v>x</v>
      </c>
      <c r="U154" s="34" t="str">
        <f>IF(AND('PL1(Full)'!$H154="Thôn",'PL1(Full)'!$I154&lt;75),"x",IF(AND('PL1(Full)'!$H154="Tổ",'PL1(Full)'!$I154&lt;100),"x","-"))</f>
        <v>-</v>
      </c>
      <c r="V154" s="34" t="str">
        <f>IF(AND('PL1(Full)'!$H154="Thôn",'PL1(Full)'!$I154&lt;140),"x",IF(AND('PL1(Full)'!$H154="Tổ",'PL1(Full)'!$I154&lt;210),"x","-"))</f>
        <v>x</v>
      </c>
      <c r="W154" s="40" t="str">
        <f t="shared" si="14"/>
        <v>Loại 3</v>
      </c>
      <c r="X154" s="31"/>
    </row>
    <row r="155" spans="1:24" ht="15.75" customHeight="1">
      <c r="A155" s="30">
        <f>_xlfn.AGGREGATE(4,7,A$6:A154)+1</f>
        <v>100</v>
      </c>
      <c r="B155" s="31" t="str">
        <f t="shared" si="13"/>
        <v>H. Ba Bể</v>
      </c>
      <c r="C155" s="31" t="str">
        <f t="shared" si="26"/>
        <v>X. Quảng Khê</v>
      </c>
      <c r="D155" s="34"/>
      <c r="E155" s="34" t="s">
        <v>58</v>
      </c>
      <c r="F155" s="31" t="s">
        <v>138</v>
      </c>
      <c r="G155" s="34"/>
      <c r="H155" s="34" t="str">
        <f>IF(LEFT('PL1(Full)'!$F155,4)="Thôn","Thôn","Tổ")</f>
        <v>Thôn</v>
      </c>
      <c r="I155" s="36">
        <v>71</v>
      </c>
      <c r="J155" s="36">
        <v>345</v>
      </c>
      <c r="K155" s="36">
        <v>71</v>
      </c>
      <c r="L155" s="37">
        <f t="shared" si="0"/>
        <v>100</v>
      </c>
      <c r="M155" s="36">
        <v>21</v>
      </c>
      <c r="N155" s="38">
        <f t="shared" si="1"/>
        <v>29.577464788732396</v>
      </c>
      <c r="O155" s="36">
        <v>21</v>
      </c>
      <c r="P155" s="38">
        <f t="shared" si="2"/>
        <v>100</v>
      </c>
      <c r="Q155" s="39" t="s">
        <v>213</v>
      </c>
      <c r="R155" s="39" t="str">
        <f t="shared" si="3"/>
        <v>X</v>
      </c>
      <c r="S155" s="34" t="s">
        <v>60</v>
      </c>
      <c r="T155" s="34" t="str">
        <f>IF('PL1(Full)'!$N155&gt;=20,"x",IF(AND('PL1(Full)'!$N155&gt;=15,'PL1(Full)'!$P155&gt;60),"x",""))</f>
        <v>x</v>
      </c>
      <c r="U155" s="34" t="str">
        <f>IF(AND('PL1(Full)'!$H155="Thôn",'PL1(Full)'!$I155&lt;75),"x",IF(AND('PL1(Full)'!$H155="Tổ",'PL1(Full)'!$I155&lt;100),"x","-"))</f>
        <v>x</v>
      </c>
      <c r="V155" s="34" t="str">
        <f>IF(AND('PL1(Full)'!$H155="Thôn",'PL1(Full)'!$I155&lt;140),"x",IF(AND('PL1(Full)'!$H155="Tổ",'PL1(Full)'!$I155&lt;210),"x","-"))</f>
        <v>x</v>
      </c>
      <c r="W155" s="40" t="str">
        <f t="shared" si="14"/>
        <v>Loại 3</v>
      </c>
      <c r="X155" s="31"/>
    </row>
    <row r="156" spans="1:24" ht="15.75" customHeight="1">
      <c r="A156" s="30">
        <f>_xlfn.AGGREGATE(4,7,A$6:A155)+1</f>
        <v>101</v>
      </c>
      <c r="B156" s="31" t="str">
        <f t="shared" si="13"/>
        <v>H. Ba Bể</v>
      </c>
      <c r="C156" s="31" t="str">
        <f t="shared" si="26"/>
        <v>X. Quảng Khê</v>
      </c>
      <c r="D156" s="34"/>
      <c r="E156" s="34" t="s">
        <v>58</v>
      </c>
      <c r="F156" s="31" t="s">
        <v>214</v>
      </c>
      <c r="G156" s="34"/>
      <c r="H156" s="34" t="str">
        <f>IF(LEFT('PL1(Full)'!$F156,4)="Thôn","Thôn","Tổ")</f>
        <v>Thôn</v>
      </c>
      <c r="I156" s="36">
        <v>60</v>
      </c>
      <c r="J156" s="36">
        <v>285</v>
      </c>
      <c r="K156" s="36">
        <v>60</v>
      </c>
      <c r="L156" s="37">
        <f t="shared" si="0"/>
        <v>100</v>
      </c>
      <c r="M156" s="36">
        <v>30</v>
      </c>
      <c r="N156" s="38">
        <f t="shared" si="1"/>
        <v>50</v>
      </c>
      <c r="O156" s="36">
        <v>30</v>
      </c>
      <c r="P156" s="38">
        <f t="shared" si="2"/>
        <v>100</v>
      </c>
      <c r="Q156" s="39" t="s">
        <v>56</v>
      </c>
      <c r="R156" s="39" t="str">
        <f t="shared" si="3"/>
        <v>X</v>
      </c>
      <c r="S156" s="34" t="s">
        <v>60</v>
      </c>
      <c r="T156" s="34" t="str">
        <f>IF('PL1(Full)'!$N156&gt;=20,"x",IF(AND('PL1(Full)'!$N156&gt;=15,'PL1(Full)'!$P156&gt;60),"x",""))</f>
        <v>x</v>
      </c>
      <c r="U156" s="34" t="str">
        <f>IF(AND('PL1(Full)'!$H156="Thôn",'PL1(Full)'!$I156&lt;75),"x",IF(AND('PL1(Full)'!$H156="Tổ",'PL1(Full)'!$I156&lt;100),"x","-"))</f>
        <v>x</v>
      </c>
      <c r="V156" s="34" t="str">
        <f>IF(AND('PL1(Full)'!$H156="Thôn",'PL1(Full)'!$I156&lt;140),"x",IF(AND('PL1(Full)'!$H156="Tổ",'PL1(Full)'!$I156&lt;210),"x","-"))</f>
        <v>x</v>
      </c>
      <c r="W156" s="40" t="str">
        <f t="shared" si="14"/>
        <v>Loại 3</v>
      </c>
      <c r="X156" s="31"/>
    </row>
    <row r="157" spans="1:24" ht="15.75" customHeight="1">
      <c r="A157" s="41">
        <f>_xlfn.AGGREGATE(4,7,A$6:A156)+1</f>
        <v>102</v>
      </c>
      <c r="B157" s="42" t="str">
        <f t="shared" si="13"/>
        <v>H. Ba Bể</v>
      </c>
      <c r="C157" s="42" t="str">
        <f t="shared" si="26"/>
        <v>X. Quảng Khê</v>
      </c>
      <c r="D157" s="50"/>
      <c r="E157" s="50" t="s">
        <v>58</v>
      </c>
      <c r="F157" s="42" t="s">
        <v>215</v>
      </c>
      <c r="G157" s="50"/>
      <c r="H157" s="50" t="str">
        <f>IF(LEFT('PL1(Full)'!$F157,4)="Thôn","Thôn","Tổ")</f>
        <v>Thôn</v>
      </c>
      <c r="I157" s="46">
        <v>61</v>
      </c>
      <c r="J157" s="46">
        <v>284</v>
      </c>
      <c r="K157" s="46">
        <v>61</v>
      </c>
      <c r="L157" s="47">
        <f t="shared" si="0"/>
        <v>100</v>
      </c>
      <c r="M157" s="46">
        <v>17</v>
      </c>
      <c r="N157" s="48">
        <f t="shared" si="1"/>
        <v>27.868852459016395</v>
      </c>
      <c r="O157" s="46">
        <v>17</v>
      </c>
      <c r="P157" s="48">
        <f t="shared" si="2"/>
        <v>100</v>
      </c>
      <c r="Q157" s="49" t="s">
        <v>56</v>
      </c>
      <c r="R157" s="49" t="str">
        <f t="shared" si="3"/>
        <v>X</v>
      </c>
      <c r="S157" s="50" t="s">
        <v>60</v>
      </c>
      <c r="T157" s="50" t="str">
        <f>IF('PL1(Full)'!$N157&gt;=20,"x",IF(AND('PL1(Full)'!$N157&gt;=15,'PL1(Full)'!$P157&gt;60),"x",""))</f>
        <v>x</v>
      </c>
      <c r="U157" s="50" t="str">
        <f>IF(AND('PL1(Full)'!$H157="Thôn",'PL1(Full)'!$I157&lt;75),"x",IF(AND('PL1(Full)'!$H157="Tổ",'PL1(Full)'!$I157&lt;100),"x","-"))</f>
        <v>x</v>
      </c>
      <c r="V157" s="34" t="str">
        <f>IF(AND('PL1(Full)'!$H157="Thôn",'PL1(Full)'!$I157&lt;140),"x",IF(AND('PL1(Full)'!$H157="Tổ",'PL1(Full)'!$I157&lt;210),"x","-"))</f>
        <v>x</v>
      </c>
      <c r="W157" s="51" t="str">
        <f t="shared" si="14"/>
        <v>Loại 3</v>
      </c>
      <c r="X157" s="42"/>
    </row>
    <row r="158" spans="1:24" ht="15.75" hidden="1" customHeight="1">
      <c r="A158" s="52">
        <f>_xlfn.AGGREGATE(4,7,A$6:A157)+1</f>
        <v>103</v>
      </c>
      <c r="B158" s="14" t="str">
        <f t="shared" si="13"/>
        <v>H. Ba Bể</v>
      </c>
      <c r="C158" s="14" t="s">
        <v>216</v>
      </c>
      <c r="D158" s="25" t="s">
        <v>102</v>
      </c>
      <c r="E158" s="25" t="s">
        <v>102</v>
      </c>
      <c r="F158" s="14" t="s">
        <v>217</v>
      </c>
      <c r="G158" s="25" t="s">
        <v>137</v>
      </c>
      <c r="H158" s="25" t="str">
        <f>IF(LEFT('PL1(Full)'!$F158,4)="Thôn","Thôn","Tổ")</f>
        <v>Thôn</v>
      </c>
      <c r="I158" s="20">
        <v>104</v>
      </c>
      <c r="J158" s="20">
        <v>411</v>
      </c>
      <c r="K158" s="20">
        <v>104</v>
      </c>
      <c r="L158" s="21">
        <f t="shared" si="0"/>
        <v>100</v>
      </c>
      <c r="M158" s="20">
        <v>4</v>
      </c>
      <c r="N158" s="22">
        <f t="shared" si="1"/>
        <v>3.8461538461538463</v>
      </c>
      <c r="O158" s="20">
        <v>4</v>
      </c>
      <c r="P158" s="22">
        <f t="shared" si="2"/>
        <v>100</v>
      </c>
      <c r="Q158" s="39" t="s">
        <v>218</v>
      </c>
      <c r="R158" s="24" t="str">
        <f t="shared" si="3"/>
        <v>X</v>
      </c>
      <c r="S158" s="25"/>
      <c r="T158" s="26" t="str">
        <f>IF('PL1(Full)'!$N158&gt;=20,"x",IF(AND('PL1(Full)'!$N158&gt;=15,'PL1(Full)'!$P158&gt;60),"x",""))</f>
        <v/>
      </c>
      <c r="U158" s="27" t="str">
        <f>IF(AND('PL1(Full)'!$H158="Thôn",'PL1(Full)'!$I158&lt;75),"x",IF(AND('PL1(Full)'!$H158="Tổ",'PL1(Full)'!$I158&lt;100),"x","-"))</f>
        <v>-</v>
      </c>
      <c r="V158" s="28" t="str">
        <f>IF(AND('PL1(Full)'!$H158="Thôn",'PL1(Full)'!$I158&lt;140),"x",IF(AND('PL1(Full)'!$H158="Tổ",'PL1(Full)'!$I158&lt;210),"x","-"))</f>
        <v>x</v>
      </c>
      <c r="W158" s="29" t="str">
        <f t="shared" si="14"/>
        <v>Loại 2</v>
      </c>
      <c r="X158" s="14"/>
    </row>
    <row r="159" spans="1:24" ht="15.75" hidden="1" customHeight="1">
      <c r="A159" s="30">
        <f>_xlfn.AGGREGATE(4,7,A$6:A158)+1</f>
        <v>103</v>
      </c>
      <c r="B159" s="31" t="str">
        <f t="shared" si="13"/>
        <v>H. Ba Bể</v>
      </c>
      <c r="C159" s="31" t="str">
        <f t="shared" ref="C159:C176" si="27">C158</f>
        <v>X. Thượng Giáo</v>
      </c>
      <c r="D159" s="34"/>
      <c r="E159" s="34" t="s">
        <v>102</v>
      </c>
      <c r="F159" s="31" t="s">
        <v>219</v>
      </c>
      <c r="G159" s="32" t="s">
        <v>137</v>
      </c>
      <c r="H159" s="34" t="str">
        <f>IF(LEFT('PL1(Full)'!$F159,4)="Thôn","Thôn","Tổ")</f>
        <v>Thôn</v>
      </c>
      <c r="I159" s="36">
        <v>121</v>
      </c>
      <c r="J159" s="36">
        <v>482</v>
      </c>
      <c r="K159" s="36">
        <v>3</v>
      </c>
      <c r="L159" s="37">
        <f t="shared" si="0"/>
        <v>2.4793388429752068</v>
      </c>
      <c r="M159" s="36">
        <v>7</v>
      </c>
      <c r="N159" s="38">
        <f t="shared" si="1"/>
        <v>5.785123966942149</v>
      </c>
      <c r="O159" s="36">
        <v>7</v>
      </c>
      <c r="P159" s="38">
        <f t="shared" si="2"/>
        <v>100</v>
      </c>
      <c r="Q159" s="39" t="s">
        <v>220</v>
      </c>
      <c r="R159" s="39" t="str">
        <f t="shared" si="3"/>
        <v>X</v>
      </c>
      <c r="S159" s="34"/>
      <c r="T159" s="34" t="str">
        <f>IF('PL1(Full)'!$N159&gt;=20,"x",IF(AND('PL1(Full)'!$N159&gt;=15,'PL1(Full)'!$P159&gt;60),"x",""))</f>
        <v/>
      </c>
      <c r="U159" s="34" t="str">
        <f>IF(AND('PL1(Full)'!$H159="Thôn",'PL1(Full)'!$I159&lt;75),"x",IF(AND('PL1(Full)'!$H159="Tổ",'PL1(Full)'!$I159&lt;100),"x","-"))</f>
        <v>-</v>
      </c>
      <c r="V159" s="34" t="str">
        <f>IF(AND('PL1(Full)'!$H159="Thôn",'PL1(Full)'!$I159&lt;140),"x",IF(AND('PL1(Full)'!$H159="Tổ",'PL1(Full)'!$I159&lt;210),"x","-"))</f>
        <v>x</v>
      </c>
      <c r="W159" s="40" t="str">
        <f t="shared" si="14"/>
        <v>Loại 2</v>
      </c>
      <c r="X159" s="31"/>
    </row>
    <row r="160" spans="1:24" ht="15.75" customHeight="1">
      <c r="A160" s="30">
        <f>_xlfn.AGGREGATE(4,7,A$6:A159)+1</f>
        <v>103</v>
      </c>
      <c r="B160" s="31" t="str">
        <f t="shared" si="13"/>
        <v>H. Ba Bể</v>
      </c>
      <c r="C160" s="31" t="str">
        <f t="shared" si="27"/>
        <v>X. Thượng Giáo</v>
      </c>
      <c r="D160" s="34"/>
      <c r="E160" s="34" t="s">
        <v>102</v>
      </c>
      <c r="F160" s="31" t="s">
        <v>221</v>
      </c>
      <c r="G160" s="34"/>
      <c r="H160" s="34" t="str">
        <f>IF(LEFT('PL1(Full)'!$F160,4)="Thôn","Thôn","Tổ")</f>
        <v>Thôn</v>
      </c>
      <c r="I160" s="36">
        <v>65</v>
      </c>
      <c r="J160" s="36">
        <v>245</v>
      </c>
      <c r="K160" s="36">
        <v>62</v>
      </c>
      <c r="L160" s="37">
        <f t="shared" si="0"/>
        <v>95.384615384615387</v>
      </c>
      <c r="M160" s="36">
        <v>17</v>
      </c>
      <c r="N160" s="38">
        <f t="shared" si="1"/>
        <v>26.153846153846153</v>
      </c>
      <c r="O160" s="36">
        <v>17</v>
      </c>
      <c r="P160" s="38">
        <f t="shared" si="2"/>
        <v>100</v>
      </c>
      <c r="Q160" s="39" t="s">
        <v>222</v>
      </c>
      <c r="R160" s="39" t="str">
        <f t="shared" si="3"/>
        <v>X</v>
      </c>
      <c r="S160" s="34" t="s">
        <v>60</v>
      </c>
      <c r="T160" s="34" t="str">
        <f>IF('PL1(Full)'!$N160&gt;=20,"x",IF(AND('PL1(Full)'!$N160&gt;=15,'PL1(Full)'!$P160&gt;60),"x",""))</f>
        <v>x</v>
      </c>
      <c r="U160" s="34" t="str">
        <f>IF(AND('PL1(Full)'!$H160="Thôn",'PL1(Full)'!$I160&lt;75),"x",IF(AND('PL1(Full)'!$H160="Tổ",'PL1(Full)'!$I160&lt;100),"x","-"))</f>
        <v>x</v>
      </c>
      <c r="V160" s="34" t="str">
        <f>IF(AND('PL1(Full)'!$H160="Thôn",'PL1(Full)'!$I160&lt;140),"x",IF(AND('PL1(Full)'!$H160="Tổ",'PL1(Full)'!$I160&lt;210),"x","-"))</f>
        <v>x</v>
      </c>
      <c r="W160" s="40" t="str">
        <f t="shared" si="14"/>
        <v>Loại 3</v>
      </c>
      <c r="X160" s="31"/>
    </row>
    <row r="161" spans="1:24" ht="15.75" hidden="1" customHeight="1">
      <c r="A161" s="30">
        <f>_xlfn.AGGREGATE(4,7,A$6:A160)+1</f>
        <v>104</v>
      </c>
      <c r="B161" s="31" t="str">
        <f t="shared" si="13"/>
        <v>H. Ba Bể</v>
      </c>
      <c r="C161" s="31" t="str">
        <f t="shared" si="27"/>
        <v>X. Thượng Giáo</v>
      </c>
      <c r="D161" s="34"/>
      <c r="E161" s="34" t="s">
        <v>102</v>
      </c>
      <c r="F161" s="31" t="s">
        <v>223</v>
      </c>
      <c r="G161" s="32" t="s">
        <v>137</v>
      </c>
      <c r="H161" s="34" t="str">
        <f>IF(LEFT('PL1(Full)'!$F161,4)="Thôn","Thôn","Tổ")</f>
        <v>Thôn</v>
      </c>
      <c r="I161" s="36">
        <v>140</v>
      </c>
      <c r="J161" s="36">
        <v>622</v>
      </c>
      <c r="K161" s="36">
        <v>140</v>
      </c>
      <c r="L161" s="37">
        <f t="shared" si="0"/>
        <v>100</v>
      </c>
      <c r="M161" s="36">
        <v>3</v>
      </c>
      <c r="N161" s="38">
        <f t="shared" si="1"/>
        <v>2.1428571428571428</v>
      </c>
      <c r="O161" s="36">
        <v>3</v>
      </c>
      <c r="P161" s="38">
        <f t="shared" si="2"/>
        <v>100</v>
      </c>
      <c r="Q161" s="39" t="s">
        <v>224</v>
      </c>
      <c r="R161" s="39" t="str">
        <f t="shared" si="3"/>
        <v>X</v>
      </c>
      <c r="S161" s="34"/>
      <c r="T161" s="34" t="str">
        <f>IF('PL1(Full)'!$N161&gt;=20,"x",IF(AND('PL1(Full)'!$N161&gt;=15,'PL1(Full)'!$P161&gt;60),"x",""))</f>
        <v/>
      </c>
      <c r="U161" s="34" t="str">
        <f>IF(AND('PL1(Full)'!$H161="Thôn",'PL1(Full)'!$I161&lt;75),"x",IF(AND('PL1(Full)'!$H161="Tổ",'PL1(Full)'!$I161&lt;100),"x","-"))</f>
        <v>-</v>
      </c>
      <c r="V161" s="34" t="str">
        <f>IF(AND('PL1(Full)'!$H161="Thôn",'PL1(Full)'!$I161&lt;140),"x",IF(AND('PL1(Full)'!$H161="Tổ",'PL1(Full)'!$I161&lt;210),"x","-"))</f>
        <v>-</v>
      </c>
      <c r="W161" s="40" t="str">
        <f t="shared" si="14"/>
        <v>Loại 2</v>
      </c>
      <c r="X161" s="31"/>
    </row>
    <row r="162" spans="1:24" ht="15.75" customHeight="1">
      <c r="A162" s="30">
        <f>_xlfn.AGGREGATE(4,7,A$6:A161)+1</f>
        <v>104</v>
      </c>
      <c r="B162" s="31" t="str">
        <f t="shared" si="13"/>
        <v>H. Ba Bể</v>
      </c>
      <c r="C162" s="31" t="str">
        <f t="shared" si="27"/>
        <v>X. Thượng Giáo</v>
      </c>
      <c r="D162" s="34"/>
      <c r="E162" s="34" t="s">
        <v>102</v>
      </c>
      <c r="F162" s="31" t="s">
        <v>225</v>
      </c>
      <c r="G162" s="34"/>
      <c r="H162" s="34" t="str">
        <f>IF(LEFT('PL1(Full)'!$F162,4)="Thôn","Thôn","Tổ")</f>
        <v>Thôn</v>
      </c>
      <c r="I162" s="36">
        <v>32</v>
      </c>
      <c r="J162" s="36">
        <v>140</v>
      </c>
      <c r="K162" s="36">
        <v>32</v>
      </c>
      <c r="L162" s="37">
        <f t="shared" si="0"/>
        <v>100</v>
      </c>
      <c r="M162" s="36">
        <v>3</v>
      </c>
      <c r="N162" s="38">
        <f t="shared" si="1"/>
        <v>9.375</v>
      </c>
      <c r="O162" s="36">
        <v>3</v>
      </c>
      <c r="P162" s="38">
        <f t="shared" si="2"/>
        <v>100</v>
      </c>
      <c r="Q162" s="39" t="s">
        <v>226</v>
      </c>
      <c r="R162" s="39" t="str">
        <f t="shared" si="3"/>
        <v>X</v>
      </c>
      <c r="S162" s="34" t="s">
        <v>60</v>
      </c>
      <c r="T162" s="34" t="str">
        <f>IF('PL1(Full)'!$N162&gt;=20,"x",IF(AND('PL1(Full)'!$N162&gt;=15,'PL1(Full)'!$P162&gt;60),"x",""))</f>
        <v/>
      </c>
      <c r="U162" s="34" t="str">
        <f>IF(AND('PL1(Full)'!$H162="Thôn",'PL1(Full)'!$I162&lt;75),"x",IF(AND('PL1(Full)'!$H162="Tổ",'PL1(Full)'!$I162&lt;100),"x","-"))</f>
        <v>x</v>
      </c>
      <c r="V162" s="34" t="str">
        <f>IF(AND('PL1(Full)'!$H162="Thôn",'PL1(Full)'!$I162&lt;140),"x",IF(AND('PL1(Full)'!$H162="Tổ",'PL1(Full)'!$I162&lt;210),"x","-"))</f>
        <v>x</v>
      </c>
      <c r="W162" s="40" t="str">
        <f t="shared" si="14"/>
        <v>Loại 3</v>
      </c>
      <c r="X162" s="31"/>
    </row>
    <row r="163" spans="1:24" ht="15.75" hidden="1" customHeight="1">
      <c r="A163" s="30">
        <f>_xlfn.AGGREGATE(4,7,A$6:A162)+1</f>
        <v>105</v>
      </c>
      <c r="B163" s="31" t="str">
        <f t="shared" si="13"/>
        <v>H. Ba Bể</v>
      </c>
      <c r="C163" s="31" t="str">
        <f t="shared" si="27"/>
        <v>X. Thượng Giáo</v>
      </c>
      <c r="D163" s="34"/>
      <c r="E163" s="34" t="s">
        <v>102</v>
      </c>
      <c r="F163" s="31" t="s">
        <v>227</v>
      </c>
      <c r="G163" s="34"/>
      <c r="H163" s="34" t="str">
        <f>IF(LEFT('PL1(Full)'!$F163,4)="Thôn","Thôn","Tổ")</f>
        <v>Thôn</v>
      </c>
      <c r="I163" s="36">
        <v>90</v>
      </c>
      <c r="J163" s="36">
        <v>359</v>
      </c>
      <c r="K163" s="36">
        <v>89</v>
      </c>
      <c r="L163" s="37">
        <f t="shared" si="0"/>
        <v>98.888888888888886</v>
      </c>
      <c r="M163" s="36">
        <v>16</v>
      </c>
      <c r="N163" s="38">
        <f t="shared" si="1"/>
        <v>17.777777777777779</v>
      </c>
      <c r="O163" s="36">
        <v>16</v>
      </c>
      <c r="P163" s="38">
        <f t="shared" si="2"/>
        <v>100</v>
      </c>
      <c r="Q163" s="39" t="s">
        <v>228</v>
      </c>
      <c r="R163" s="39" t="str">
        <f t="shared" si="3"/>
        <v>X</v>
      </c>
      <c r="S163" s="34" t="s">
        <v>60</v>
      </c>
      <c r="T163" s="34" t="str">
        <f>IF('PL1(Full)'!$N163&gt;=20,"x",IF(AND('PL1(Full)'!$N163&gt;=15,'PL1(Full)'!$P163&gt;60),"x",""))</f>
        <v>x</v>
      </c>
      <c r="U163" s="34" t="str">
        <f>IF(AND('PL1(Full)'!$H163="Thôn",'PL1(Full)'!$I163&lt;75),"x",IF(AND('PL1(Full)'!$H163="Tổ",'PL1(Full)'!$I163&lt;100),"x","-"))</f>
        <v>-</v>
      </c>
      <c r="V163" s="34" t="str">
        <f>IF(AND('PL1(Full)'!$H163="Thôn",'PL1(Full)'!$I163&lt;140),"x",IF(AND('PL1(Full)'!$H163="Tổ",'PL1(Full)'!$I163&lt;210),"x","-"))</f>
        <v>x</v>
      </c>
      <c r="W163" s="40" t="str">
        <f t="shared" si="14"/>
        <v>Loại 3</v>
      </c>
      <c r="X163" s="31"/>
    </row>
    <row r="164" spans="1:24" ht="15.75" customHeight="1">
      <c r="A164" s="30">
        <f>_xlfn.AGGREGATE(4,7,A$6:A163)+1</f>
        <v>105</v>
      </c>
      <c r="B164" s="31" t="str">
        <f t="shared" si="13"/>
        <v>H. Ba Bể</v>
      </c>
      <c r="C164" s="31" t="str">
        <f t="shared" si="27"/>
        <v>X. Thượng Giáo</v>
      </c>
      <c r="D164" s="34"/>
      <c r="E164" s="34" t="s">
        <v>102</v>
      </c>
      <c r="F164" s="31" t="s">
        <v>229</v>
      </c>
      <c r="G164" s="34"/>
      <c r="H164" s="34" t="str">
        <f>IF(LEFT('PL1(Full)'!$F164,4)="Thôn","Thôn","Tổ")</f>
        <v>Thôn</v>
      </c>
      <c r="I164" s="36">
        <v>49</v>
      </c>
      <c r="J164" s="36">
        <v>205</v>
      </c>
      <c r="K164" s="36">
        <v>46</v>
      </c>
      <c r="L164" s="37">
        <f t="shared" si="0"/>
        <v>93.877551020408163</v>
      </c>
      <c r="M164" s="36">
        <v>4</v>
      </c>
      <c r="N164" s="38">
        <f t="shared" si="1"/>
        <v>8.1632653061224492</v>
      </c>
      <c r="O164" s="36">
        <v>4</v>
      </c>
      <c r="P164" s="38">
        <f t="shared" si="2"/>
        <v>100</v>
      </c>
      <c r="Q164" s="39" t="s">
        <v>230</v>
      </c>
      <c r="R164" s="39" t="str">
        <f t="shared" si="3"/>
        <v>X</v>
      </c>
      <c r="S164" s="34"/>
      <c r="T164" s="34" t="str">
        <f>IF('PL1(Full)'!$N164&gt;=20,"x",IF(AND('PL1(Full)'!$N164&gt;=15,'PL1(Full)'!$P164&gt;60),"x",""))</f>
        <v/>
      </c>
      <c r="U164" s="34" t="str">
        <f>IF(AND('PL1(Full)'!$H164="Thôn",'PL1(Full)'!$I164&lt;75),"x",IF(AND('PL1(Full)'!$H164="Tổ",'PL1(Full)'!$I164&lt;100),"x","-"))</f>
        <v>x</v>
      </c>
      <c r="V164" s="34" t="str">
        <f>IF(AND('PL1(Full)'!$H164="Thôn",'PL1(Full)'!$I164&lt;140),"x",IF(AND('PL1(Full)'!$H164="Tổ",'PL1(Full)'!$I164&lt;210),"x","-"))</f>
        <v>x</v>
      </c>
      <c r="W164" s="40" t="str">
        <f t="shared" si="14"/>
        <v>Loại 3</v>
      </c>
      <c r="X164" s="31"/>
    </row>
    <row r="165" spans="1:24" ht="15.75" customHeight="1">
      <c r="A165" s="30">
        <f>_xlfn.AGGREGATE(4,7,A$6:A164)+1</f>
        <v>106</v>
      </c>
      <c r="B165" s="31" t="str">
        <f t="shared" si="13"/>
        <v>H. Ba Bể</v>
      </c>
      <c r="C165" s="31" t="str">
        <f t="shared" si="27"/>
        <v>X. Thượng Giáo</v>
      </c>
      <c r="D165" s="34"/>
      <c r="E165" s="34" t="s">
        <v>102</v>
      </c>
      <c r="F165" s="31" t="s">
        <v>231</v>
      </c>
      <c r="G165" s="34"/>
      <c r="H165" s="34" t="str">
        <f>IF(LEFT('PL1(Full)'!$F165,4)="Thôn","Thôn","Tổ")</f>
        <v>Thôn</v>
      </c>
      <c r="I165" s="36">
        <v>65</v>
      </c>
      <c r="J165" s="36">
        <v>276</v>
      </c>
      <c r="K165" s="36">
        <v>65</v>
      </c>
      <c r="L165" s="37">
        <f t="shared" si="0"/>
        <v>100</v>
      </c>
      <c r="M165" s="36">
        <v>7</v>
      </c>
      <c r="N165" s="38">
        <f t="shared" si="1"/>
        <v>10.76923076923077</v>
      </c>
      <c r="O165" s="36">
        <v>7</v>
      </c>
      <c r="P165" s="38">
        <f t="shared" si="2"/>
        <v>100</v>
      </c>
      <c r="Q165" s="39" t="s">
        <v>232</v>
      </c>
      <c r="R165" s="39" t="str">
        <f t="shared" si="3"/>
        <v>X</v>
      </c>
      <c r="S165" s="34" t="s">
        <v>60</v>
      </c>
      <c r="T165" s="34" t="str">
        <f>IF('PL1(Full)'!$N165&gt;=20,"x",IF(AND('PL1(Full)'!$N165&gt;=15,'PL1(Full)'!$P165&gt;60),"x",""))</f>
        <v/>
      </c>
      <c r="U165" s="34" t="str">
        <f>IF(AND('PL1(Full)'!$H165="Thôn",'PL1(Full)'!$I165&lt;75),"x",IF(AND('PL1(Full)'!$H165="Tổ",'PL1(Full)'!$I165&lt;100),"x","-"))</f>
        <v>x</v>
      </c>
      <c r="V165" s="34" t="str">
        <f>IF(AND('PL1(Full)'!$H165="Thôn",'PL1(Full)'!$I165&lt;140),"x",IF(AND('PL1(Full)'!$H165="Tổ",'PL1(Full)'!$I165&lt;210),"x","-"))</f>
        <v>x</v>
      </c>
      <c r="W165" s="40" t="str">
        <f t="shared" si="14"/>
        <v>Loại 3</v>
      </c>
      <c r="X165" s="31"/>
    </row>
    <row r="166" spans="1:24" ht="15.75" customHeight="1">
      <c r="A166" s="30">
        <f>_xlfn.AGGREGATE(4,7,A$6:A165)+1</f>
        <v>107</v>
      </c>
      <c r="B166" s="31" t="str">
        <f t="shared" si="13"/>
        <v>H. Ba Bể</v>
      </c>
      <c r="C166" s="31" t="str">
        <f t="shared" si="27"/>
        <v>X. Thượng Giáo</v>
      </c>
      <c r="D166" s="34"/>
      <c r="E166" s="34" t="s">
        <v>102</v>
      </c>
      <c r="F166" s="31" t="s">
        <v>233</v>
      </c>
      <c r="G166" s="34"/>
      <c r="H166" s="34" t="str">
        <f>IF(LEFT('PL1(Full)'!$F166,4)="Thôn","Thôn","Tổ")</f>
        <v>Thôn</v>
      </c>
      <c r="I166" s="36">
        <v>72</v>
      </c>
      <c r="J166" s="36">
        <v>296</v>
      </c>
      <c r="K166" s="36">
        <v>72</v>
      </c>
      <c r="L166" s="37">
        <f t="shared" si="0"/>
        <v>100</v>
      </c>
      <c r="M166" s="36">
        <v>22</v>
      </c>
      <c r="N166" s="38">
        <f t="shared" si="1"/>
        <v>30.555555555555557</v>
      </c>
      <c r="O166" s="36">
        <v>22</v>
      </c>
      <c r="P166" s="38">
        <f t="shared" si="2"/>
        <v>100</v>
      </c>
      <c r="Q166" s="39" t="s">
        <v>85</v>
      </c>
      <c r="R166" s="39" t="str">
        <f t="shared" si="3"/>
        <v>X</v>
      </c>
      <c r="S166" s="34" t="s">
        <v>60</v>
      </c>
      <c r="T166" s="34" t="str">
        <f>IF('PL1(Full)'!$N166&gt;=20,"x",IF(AND('PL1(Full)'!$N166&gt;=15,'PL1(Full)'!$P166&gt;60),"x",""))</f>
        <v>x</v>
      </c>
      <c r="U166" s="34" t="str">
        <f>IF(AND('PL1(Full)'!$H166="Thôn",'PL1(Full)'!$I166&lt;75),"x",IF(AND('PL1(Full)'!$H166="Tổ",'PL1(Full)'!$I166&lt;100),"x","-"))</f>
        <v>x</v>
      </c>
      <c r="V166" s="34" t="str">
        <f>IF(AND('PL1(Full)'!$H166="Thôn",'PL1(Full)'!$I166&lt;140),"x",IF(AND('PL1(Full)'!$H166="Tổ",'PL1(Full)'!$I166&lt;210),"x","-"))</f>
        <v>x</v>
      </c>
      <c r="W166" s="40" t="str">
        <f t="shared" si="14"/>
        <v>Loại 3</v>
      </c>
      <c r="X166" s="31"/>
    </row>
    <row r="167" spans="1:24" ht="15.75" customHeight="1">
      <c r="A167" s="30">
        <f>_xlfn.AGGREGATE(4,7,A$6:A166)+1</f>
        <v>108</v>
      </c>
      <c r="B167" s="31" t="str">
        <f t="shared" si="13"/>
        <v>H. Ba Bể</v>
      </c>
      <c r="C167" s="31" t="str">
        <f t="shared" si="27"/>
        <v>X. Thượng Giáo</v>
      </c>
      <c r="D167" s="34"/>
      <c r="E167" s="34" t="s">
        <v>102</v>
      </c>
      <c r="F167" s="31" t="s">
        <v>234</v>
      </c>
      <c r="G167" s="34"/>
      <c r="H167" s="34" t="str">
        <f>IF(LEFT('PL1(Full)'!$F167,4)="Thôn","Thôn","Tổ")</f>
        <v>Thôn</v>
      </c>
      <c r="I167" s="36">
        <v>74</v>
      </c>
      <c r="J167" s="36">
        <v>301</v>
      </c>
      <c r="K167" s="36">
        <v>71</v>
      </c>
      <c r="L167" s="37">
        <f t="shared" si="0"/>
        <v>95.945945945945951</v>
      </c>
      <c r="M167" s="36">
        <v>3</v>
      </c>
      <c r="N167" s="38">
        <f t="shared" si="1"/>
        <v>4.0540540540540544</v>
      </c>
      <c r="O167" s="36">
        <v>3</v>
      </c>
      <c r="P167" s="38">
        <f t="shared" si="2"/>
        <v>100</v>
      </c>
      <c r="Q167" s="39" t="s">
        <v>150</v>
      </c>
      <c r="R167" s="39" t="str">
        <f t="shared" si="3"/>
        <v>X</v>
      </c>
      <c r="S167" s="34"/>
      <c r="T167" s="34" t="str">
        <f>IF('PL1(Full)'!$N167&gt;=20,"x",IF(AND('PL1(Full)'!$N167&gt;=15,'PL1(Full)'!$P167&gt;60),"x",""))</f>
        <v/>
      </c>
      <c r="U167" s="34" t="str">
        <f>IF(AND('PL1(Full)'!$H167="Thôn",'PL1(Full)'!$I167&lt;75),"x",IF(AND('PL1(Full)'!$H167="Tổ",'PL1(Full)'!$I167&lt;100),"x","-"))</f>
        <v>x</v>
      </c>
      <c r="V167" s="34" t="str">
        <f>IF(AND('PL1(Full)'!$H167="Thôn",'PL1(Full)'!$I167&lt;140),"x",IF(AND('PL1(Full)'!$H167="Tổ",'PL1(Full)'!$I167&lt;210),"x","-"))</f>
        <v>x</v>
      </c>
      <c r="W167" s="40" t="str">
        <f t="shared" si="14"/>
        <v>Loại 3</v>
      </c>
      <c r="X167" s="31"/>
    </row>
    <row r="168" spans="1:24" ht="15.75" customHeight="1">
      <c r="A168" s="30">
        <f>_xlfn.AGGREGATE(4,7,A$6:A167)+1</f>
        <v>109</v>
      </c>
      <c r="B168" s="31" t="str">
        <f t="shared" si="13"/>
        <v>H. Ba Bể</v>
      </c>
      <c r="C168" s="31" t="str">
        <f t="shared" si="27"/>
        <v>X. Thượng Giáo</v>
      </c>
      <c r="D168" s="34"/>
      <c r="E168" s="34" t="s">
        <v>102</v>
      </c>
      <c r="F168" s="31" t="s">
        <v>235</v>
      </c>
      <c r="G168" s="34"/>
      <c r="H168" s="34" t="str">
        <f>IF(LEFT('PL1(Full)'!$F168,4)="Thôn","Thôn","Tổ")</f>
        <v>Thôn</v>
      </c>
      <c r="I168" s="36">
        <v>73</v>
      </c>
      <c r="J168" s="36">
        <v>321</v>
      </c>
      <c r="K168" s="36">
        <v>73</v>
      </c>
      <c r="L168" s="37">
        <f t="shared" si="0"/>
        <v>100</v>
      </c>
      <c r="M168" s="36">
        <v>1</v>
      </c>
      <c r="N168" s="38">
        <f t="shared" si="1"/>
        <v>1.3698630136986301</v>
      </c>
      <c r="O168" s="36">
        <v>1</v>
      </c>
      <c r="P168" s="38">
        <f t="shared" si="2"/>
        <v>100</v>
      </c>
      <c r="Q168" s="39" t="s">
        <v>236</v>
      </c>
      <c r="R168" s="39" t="str">
        <f t="shared" si="3"/>
        <v>X</v>
      </c>
      <c r="S168" s="34"/>
      <c r="T168" s="34" t="str">
        <f>IF('PL1(Full)'!$N168&gt;=20,"x",IF(AND('PL1(Full)'!$N168&gt;=15,'PL1(Full)'!$P168&gt;60),"x",""))</f>
        <v/>
      </c>
      <c r="U168" s="34" t="str">
        <f>IF(AND('PL1(Full)'!$H168="Thôn",'PL1(Full)'!$I168&lt;75),"x",IF(AND('PL1(Full)'!$H168="Tổ",'PL1(Full)'!$I168&lt;100),"x","-"))</f>
        <v>x</v>
      </c>
      <c r="V168" s="34" t="str">
        <f>IF(AND('PL1(Full)'!$H168="Thôn",'PL1(Full)'!$I168&lt;140),"x",IF(AND('PL1(Full)'!$H168="Tổ",'PL1(Full)'!$I168&lt;210),"x","-"))</f>
        <v>x</v>
      </c>
      <c r="W168" s="40" t="str">
        <f t="shared" si="14"/>
        <v>Loại 3</v>
      </c>
      <c r="X168" s="31"/>
    </row>
    <row r="169" spans="1:24" ht="15.75" customHeight="1">
      <c r="A169" s="30">
        <f>_xlfn.AGGREGATE(4,7,A$6:A168)+1</f>
        <v>110</v>
      </c>
      <c r="B169" s="31" t="str">
        <f t="shared" si="13"/>
        <v>H. Ba Bể</v>
      </c>
      <c r="C169" s="31" t="str">
        <f t="shared" si="27"/>
        <v>X. Thượng Giáo</v>
      </c>
      <c r="D169" s="34"/>
      <c r="E169" s="34" t="s">
        <v>102</v>
      </c>
      <c r="F169" s="31" t="s">
        <v>237</v>
      </c>
      <c r="G169" s="34"/>
      <c r="H169" s="34" t="str">
        <f>IF(LEFT('PL1(Full)'!$F169,4)="Thôn","Thôn","Tổ")</f>
        <v>Thôn</v>
      </c>
      <c r="I169" s="36">
        <v>51</v>
      </c>
      <c r="J169" s="36">
        <v>220</v>
      </c>
      <c r="K169" s="36">
        <v>45</v>
      </c>
      <c r="L169" s="37">
        <f t="shared" si="0"/>
        <v>88.235294117647058</v>
      </c>
      <c r="M169" s="36">
        <v>7</v>
      </c>
      <c r="N169" s="38">
        <f t="shared" si="1"/>
        <v>13.725490196078431</v>
      </c>
      <c r="O169" s="36">
        <v>7</v>
      </c>
      <c r="P169" s="38">
        <f t="shared" si="2"/>
        <v>100</v>
      </c>
      <c r="Q169" s="39" t="s">
        <v>238</v>
      </c>
      <c r="R169" s="39" t="str">
        <f t="shared" si="3"/>
        <v>X</v>
      </c>
      <c r="S169" s="34" t="s">
        <v>60</v>
      </c>
      <c r="T169" s="34" t="str">
        <f>IF('PL1(Full)'!$N169&gt;=20,"x",IF(AND('PL1(Full)'!$N169&gt;=15,'PL1(Full)'!$P169&gt;60),"x",""))</f>
        <v/>
      </c>
      <c r="U169" s="34" t="str">
        <f>IF(AND('PL1(Full)'!$H169="Thôn",'PL1(Full)'!$I169&lt;75),"x",IF(AND('PL1(Full)'!$H169="Tổ",'PL1(Full)'!$I169&lt;100),"x","-"))</f>
        <v>x</v>
      </c>
      <c r="V169" s="34" t="str">
        <f>IF(AND('PL1(Full)'!$H169="Thôn",'PL1(Full)'!$I169&lt;140),"x",IF(AND('PL1(Full)'!$H169="Tổ",'PL1(Full)'!$I169&lt;210),"x","-"))</f>
        <v>x</v>
      </c>
      <c r="W169" s="40" t="str">
        <f t="shared" si="14"/>
        <v>Loại 3</v>
      </c>
      <c r="X169" s="31"/>
    </row>
    <row r="170" spans="1:24" ht="15.75" customHeight="1">
      <c r="A170" s="30">
        <f>_xlfn.AGGREGATE(4,7,A$6:A169)+1</f>
        <v>111</v>
      </c>
      <c r="B170" s="31" t="str">
        <f t="shared" si="13"/>
        <v>H. Ba Bể</v>
      </c>
      <c r="C170" s="31" t="str">
        <f t="shared" si="27"/>
        <v>X. Thượng Giáo</v>
      </c>
      <c r="D170" s="34"/>
      <c r="E170" s="34" t="s">
        <v>102</v>
      </c>
      <c r="F170" s="31" t="s">
        <v>239</v>
      </c>
      <c r="G170" s="34"/>
      <c r="H170" s="34" t="str">
        <f>IF(LEFT('PL1(Full)'!$F170,4)="Thôn","Thôn","Tổ")</f>
        <v>Thôn</v>
      </c>
      <c r="I170" s="36">
        <v>67</v>
      </c>
      <c r="J170" s="36">
        <v>289</v>
      </c>
      <c r="K170" s="36">
        <v>67</v>
      </c>
      <c r="L170" s="37">
        <f t="shared" si="0"/>
        <v>100</v>
      </c>
      <c r="M170" s="36">
        <v>14</v>
      </c>
      <c r="N170" s="38">
        <f t="shared" si="1"/>
        <v>20.895522388059703</v>
      </c>
      <c r="O170" s="36">
        <v>14</v>
      </c>
      <c r="P170" s="38">
        <f t="shared" si="2"/>
        <v>100</v>
      </c>
      <c r="Q170" s="39" t="s">
        <v>240</v>
      </c>
      <c r="R170" s="39" t="str">
        <f t="shared" si="3"/>
        <v>X</v>
      </c>
      <c r="S170" s="34" t="s">
        <v>60</v>
      </c>
      <c r="T170" s="34" t="str">
        <f>IF('PL1(Full)'!$N170&gt;=20,"x",IF(AND('PL1(Full)'!$N170&gt;=15,'PL1(Full)'!$P170&gt;60),"x",""))</f>
        <v>x</v>
      </c>
      <c r="U170" s="34" t="str">
        <f>IF(AND('PL1(Full)'!$H170="Thôn",'PL1(Full)'!$I170&lt;75),"x",IF(AND('PL1(Full)'!$H170="Tổ",'PL1(Full)'!$I170&lt;100),"x","-"))</f>
        <v>x</v>
      </c>
      <c r="V170" s="34" t="str">
        <f>IF(AND('PL1(Full)'!$H170="Thôn",'PL1(Full)'!$I170&lt;140),"x",IF(AND('PL1(Full)'!$H170="Tổ",'PL1(Full)'!$I170&lt;210),"x","-"))</f>
        <v>x</v>
      </c>
      <c r="W170" s="40" t="str">
        <f t="shared" si="14"/>
        <v>Loại 3</v>
      </c>
      <c r="X170" s="31"/>
    </row>
    <row r="171" spans="1:24" ht="15.75" hidden="1" customHeight="1">
      <c r="A171" s="30">
        <f>_xlfn.AGGREGATE(4,7,A$6:A170)+1</f>
        <v>112</v>
      </c>
      <c r="B171" s="31" t="str">
        <f t="shared" si="13"/>
        <v>H. Ba Bể</v>
      </c>
      <c r="C171" s="31" t="str">
        <f t="shared" si="27"/>
        <v>X. Thượng Giáo</v>
      </c>
      <c r="D171" s="34"/>
      <c r="E171" s="34" t="s">
        <v>102</v>
      </c>
      <c r="F171" s="31" t="s">
        <v>241</v>
      </c>
      <c r="G171" s="34"/>
      <c r="H171" s="34" t="str">
        <f>IF(LEFT('PL1(Full)'!$F171,4)="Thôn","Thôn","Tổ")</f>
        <v>Thôn</v>
      </c>
      <c r="I171" s="36">
        <v>81</v>
      </c>
      <c r="J171" s="36">
        <v>329</v>
      </c>
      <c r="K171" s="36">
        <v>77</v>
      </c>
      <c r="L171" s="37">
        <f t="shared" si="0"/>
        <v>95.061728395061735</v>
      </c>
      <c r="M171" s="36">
        <v>0</v>
      </c>
      <c r="N171" s="38">
        <f t="shared" si="1"/>
        <v>0</v>
      </c>
      <c r="O171" s="36">
        <v>0</v>
      </c>
      <c r="P171" s="38">
        <f t="shared" si="2"/>
        <v>0</v>
      </c>
      <c r="Q171" s="39" t="s">
        <v>242</v>
      </c>
      <c r="R171" s="39" t="str">
        <f t="shared" si="3"/>
        <v>X</v>
      </c>
      <c r="S171" s="34"/>
      <c r="T171" s="34" t="str">
        <f>IF('PL1(Full)'!$N171&gt;=20,"x",IF(AND('PL1(Full)'!$N171&gt;=15,'PL1(Full)'!$P171&gt;60),"x",""))</f>
        <v/>
      </c>
      <c r="U171" s="34" t="str">
        <f>IF(AND('PL1(Full)'!$H171="Thôn",'PL1(Full)'!$I171&lt;75),"x",IF(AND('PL1(Full)'!$H171="Tổ",'PL1(Full)'!$I171&lt;100),"x","-"))</f>
        <v>-</v>
      </c>
      <c r="V171" s="34" t="str">
        <f>IF(AND('PL1(Full)'!$H171="Thôn",'PL1(Full)'!$I171&lt;140),"x",IF(AND('PL1(Full)'!$H171="Tổ",'PL1(Full)'!$I171&lt;210),"x","-"))</f>
        <v>x</v>
      </c>
      <c r="W171" s="40" t="str">
        <f t="shared" si="14"/>
        <v>Loại 3</v>
      </c>
      <c r="X171" s="31"/>
    </row>
    <row r="172" spans="1:24" ht="15.75" customHeight="1">
      <c r="A172" s="30">
        <f>_xlfn.AGGREGATE(4,7,A$6:A171)+1</f>
        <v>112</v>
      </c>
      <c r="B172" s="31" t="str">
        <f t="shared" si="13"/>
        <v>H. Ba Bể</v>
      </c>
      <c r="C172" s="31" t="str">
        <f t="shared" si="27"/>
        <v>X. Thượng Giáo</v>
      </c>
      <c r="D172" s="34"/>
      <c r="E172" s="34" t="s">
        <v>102</v>
      </c>
      <c r="F172" s="31" t="s">
        <v>243</v>
      </c>
      <c r="G172" s="34"/>
      <c r="H172" s="34" t="str">
        <f>IF(LEFT('PL1(Full)'!$F172,4)="Thôn","Thôn","Tổ")</f>
        <v>Thôn</v>
      </c>
      <c r="I172" s="36">
        <v>60</v>
      </c>
      <c r="J172" s="36">
        <v>242</v>
      </c>
      <c r="K172" s="36">
        <v>60</v>
      </c>
      <c r="L172" s="37">
        <f t="shared" si="0"/>
        <v>100</v>
      </c>
      <c r="M172" s="36">
        <v>5</v>
      </c>
      <c r="N172" s="38">
        <f t="shared" si="1"/>
        <v>8.3333333333333339</v>
      </c>
      <c r="O172" s="36">
        <v>5</v>
      </c>
      <c r="P172" s="38">
        <f t="shared" si="2"/>
        <v>100</v>
      </c>
      <c r="Q172" s="39" t="s">
        <v>244</v>
      </c>
      <c r="R172" s="39" t="str">
        <f t="shared" si="3"/>
        <v>X</v>
      </c>
      <c r="S172" s="34" t="s">
        <v>60</v>
      </c>
      <c r="T172" s="34" t="str">
        <f>IF('PL1(Full)'!$N172&gt;=20,"x",IF(AND('PL1(Full)'!$N172&gt;=15,'PL1(Full)'!$P172&gt;60),"x",""))</f>
        <v/>
      </c>
      <c r="U172" s="34" t="str">
        <f>IF(AND('PL1(Full)'!$H172="Thôn",'PL1(Full)'!$I172&lt;75),"x",IF(AND('PL1(Full)'!$H172="Tổ",'PL1(Full)'!$I172&lt;100),"x","-"))</f>
        <v>x</v>
      </c>
      <c r="V172" s="34" t="str">
        <f>IF(AND('PL1(Full)'!$H172="Thôn",'PL1(Full)'!$I172&lt;140),"x",IF(AND('PL1(Full)'!$H172="Tổ",'PL1(Full)'!$I172&lt;210),"x","-"))</f>
        <v>x</v>
      </c>
      <c r="W172" s="40" t="str">
        <f t="shared" si="14"/>
        <v>Loại 3</v>
      </c>
      <c r="X172" s="31"/>
    </row>
    <row r="173" spans="1:24" ht="15.75" customHeight="1">
      <c r="A173" s="30">
        <f>_xlfn.AGGREGATE(4,7,A$6:A172)+1</f>
        <v>113</v>
      </c>
      <c r="B173" s="31" t="str">
        <f t="shared" si="13"/>
        <v>H. Ba Bể</v>
      </c>
      <c r="C173" s="31" t="str">
        <f t="shared" si="27"/>
        <v>X. Thượng Giáo</v>
      </c>
      <c r="D173" s="34"/>
      <c r="E173" s="34" t="s">
        <v>102</v>
      </c>
      <c r="F173" s="31" t="s">
        <v>245</v>
      </c>
      <c r="G173" s="34"/>
      <c r="H173" s="34" t="str">
        <f>IF(LEFT('PL1(Full)'!$F173,4)="Thôn","Thôn","Tổ")</f>
        <v>Thôn</v>
      </c>
      <c r="I173" s="36">
        <v>57</v>
      </c>
      <c r="J173" s="36">
        <v>194</v>
      </c>
      <c r="K173" s="36">
        <v>55</v>
      </c>
      <c r="L173" s="37">
        <f t="shared" si="0"/>
        <v>96.491228070175438</v>
      </c>
      <c r="M173" s="36">
        <v>1</v>
      </c>
      <c r="N173" s="38">
        <f t="shared" si="1"/>
        <v>1.7543859649122806</v>
      </c>
      <c r="O173" s="36">
        <v>1</v>
      </c>
      <c r="P173" s="38">
        <f t="shared" si="2"/>
        <v>100</v>
      </c>
      <c r="Q173" s="39" t="s">
        <v>246</v>
      </c>
      <c r="R173" s="39" t="str">
        <f t="shared" si="3"/>
        <v>X</v>
      </c>
      <c r="S173" s="34"/>
      <c r="T173" s="34" t="str">
        <f>IF('PL1(Full)'!$N173&gt;=20,"x",IF(AND('PL1(Full)'!$N173&gt;=15,'PL1(Full)'!$P173&gt;60),"x",""))</f>
        <v/>
      </c>
      <c r="U173" s="34" t="str">
        <f>IF(AND('PL1(Full)'!$H173="Thôn",'PL1(Full)'!$I173&lt;75),"x",IF(AND('PL1(Full)'!$H173="Tổ",'PL1(Full)'!$I173&lt;100),"x","-"))</f>
        <v>x</v>
      </c>
      <c r="V173" s="34" t="str">
        <f>IF(AND('PL1(Full)'!$H173="Thôn",'PL1(Full)'!$I173&lt;140),"x",IF(AND('PL1(Full)'!$H173="Tổ",'PL1(Full)'!$I173&lt;210),"x","-"))</f>
        <v>x</v>
      </c>
      <c r="W173" s="40" t="str">
        <f t="shared" si="14"/>
        <v>Loại 3</v>
      </c>
      <c r="X173" s="31"/>
    </row>
    <row r="174" spans="1:24" ht="15.75" customHeight="1">
      <c r="A174" s="30">
        <f>_xlfn.AGGREGATE(4,7,A$6:A173)+1</f>
        <v>114</v>
      </c>
      <c r="B174" s="31" t="str">
        <f t="shared" si="13"/>
        <v>H. Ba Bể</v>
      </c>
      <c r="C174" s="31" t="str">
        <f t="shared" si="27"/>
        <v>X. Thượng Giáo</v>
      </c>
      <c r="D174" s="34"/>
      <c r="E174" s="34" t="s">
        <v>102</v>
      </c>
      <c r="F174" s="31" t="s">
        <v>247</v>
      </c>
      <c r="G174" s="34"/>
      <c r="H174" s="34" t="str">
        <f>IF(LEFT('PL1(Full)'!$F174,4)="Thôn","Thôn","Tổ")</f>
        <v>Thôn</v>
      </c>
      <c r="I174" s="36">
        <v>60</v>
      </c>
      <c r="J174" s="36">
        <v>253</v>
      </c>
      <c r="K174" s="36">
        <v>60</v>
      </c>
      <c r="L174" s="37">
        <f t="shared" si="0"/>
        <v>100</v>
      </c>
      <c r="M174" s="36">
        <v>3</v>
      </c>
      <c r="N174" s="38">
        <f t="shared" si="1"/>
        <v>5</v>
      </c>
      <c r="O174" s="36">
        <v>3</v>
      </c>
      <c r="P174" s="38">
        <f t="shared" si="2"/>
        <v>100</v>
      </c>
      <c r="Q174" s="39" t="s">
        <v>248</v>
      </c>
      <c r="R174" s="39" t="str">
        <f t="shared" si="3"/>
        <v>X</v>
      </c>
      <c r="S174" s="34"/>
      <c r="T174" s="34" t="str">
        <f>IF('PL1(Full)'!$N174&gt;=20,"x",IF(AND('PL1(Full)'!$N174&gt;=15,'PL1(Full)'!$P174&gt;60),"x",""))</f>
        <v/>
      </c>
      <c r="U174" s="34" t="str">
        <f>IF(AND('PL1(Full)'!$H174="Thôn",'PL1(Full)'!$I174&lt;75),"x",IF(AND('PL1(Full)'!$H174="Tổ",'PL1(Full)'!$I174&lt;100),"x","-"))</f>
        <v>x</v>
      </c>
      <c r="V174" s="34" t="str">
        <f>IF(AND('PL1(Full)'!$H174="Thôn",'PL1(Full)'!$I174&lt;140),"x",IF(AND('PL1(Full)'!$H174="Tổ",'PL1(Full)'!$I174&lt;210),"x","-"))</f>
        <v>x</v>
      </c>
      <c r="W174" s="40" t="str">
        <f t="shared" si="14"/>
        <v>Loại 3</v>
      </c>
      <c r="X174" s="31"/>
    </row>
    <row r="175" spans="1:24" ht="15.75" customHeight="1">
      <c r="A175" s="30">
        <f>_xlfn.AGGREGATE(4,7,A$6:A174)+1</f>
        <v>115</v>
      </c>
      <c r="B175" s="31" t="str">
        <f t="shared" si="13"/>
        <v>H. Ba Bể</v>
      </c>
      <c r="C175" s="31" t="str">
        <f t="shared" si="27"/>
        <v>X. Thượng Giáo</v>
      </c>
      <c r="D175" s="34"/>
      <c r="E175" s="34" t="s">
        <v>102</v>
      </c>
      <c r="F175" s="31" t="s">
        <v>249</v>
      </c>
      <c r="G175" s="34"/>
      <c r="H175" s="34" t="str">
        <f>IF(LEFT('PL1(Full)'!$F175,4)="Thôn","Thôn","Tổ")</f>
        <v>Thôn</v>
      </c>
      <c r="I175" s="36">
        <v>22</v>
      </c>
      <c r="J175" s="36">
        <v>96</v>
      </c>
      <c r="K175" s="36">
        <v>22</v>
      </c>
      <c r="L175" s="37">
        <f t="shared" si="0"/>
        <v>100</v>
      </c>
      <c r="M175" s="36">
        <v>4</v>
      </c>
      <c r="N175" s="38">
        <f t="shared" si="1"/>
        <v>18.181818181818183</v>
      </c>
      <c r="O175" s="36">
        <v>4</v>
      </c>
      <c r="P175" s="38">
        <f t="shared" si="2"/>
        <v>100</v>
      </c>
      <c r="Q175" s="39" t="s">
        <v>54</v>
      </c>
      <c r="R175" s="39" t="str">
        <f t="shared" si="3"/>
        <v>X</v>
      </c>
      <c r="S175" s="34" t="s">
        <v>60</v>
      </c>
      <c r="T175" s="34" t="str">
        <f>IF('PL1(Full)'!$N175&gt;=20,"x",IF(AND('PL1(Full)'!$N175&gt;=15,'PL1(Full)'!$P175&gt;60),"x",""))</f>
        <v>x</v>
      </c>
      <c r="U175" s="34" t="str">
        <f>IF(AND('PL1(Full)'!$H175="Thôn",'PL1(Full)'!$I175&lt;75),"x",IF(AND('PL1(Full)'!$H175="Tổ",'PL1(Full)'!$I175&lt;100),"x","-"))</f>
        <v>x</v>
      </c>
      <c r="V175" s="34" t="str">
        <f>IF(AND('PL1(Full)'!$H175="Thôn",'PL1(Full)'!$I175&lt;140),"x",IF(AND('PL1(Full)'!$H175="Tổ",'PL1(Full)'!$I175&lt;210),"x","-"))</f>
        <v>x</v>
      </c>
      <c r="W175" s="40" t="str">
        <f t="shared" si="14"/>
        <v>Loại 3</v>
      </c>
      <c r="X175" s="31"/>
    </row>
    <row r="176" spans="1:24" ht="15.75" hidden="1" customHeight="1">
      <c r="A176" s="41">
        <f>_xlfn.AGGREGATE(4,7,A$6:A175)+1</f>
        <v>116</v>
      </c>
      <c r="B176" s="42" t="str">
        <f t="shared" si="13"/>
        <v>H. Ba Bể</v>
      </c>
      <c r="C176" s="42" t="str">
        <f t="shared" si="27"/>
        <v>X. Thượng Giáo</v>
      </c>
      <c r="D176" s="50"/>
      <c r="E176" s="50" t="s">
        <v>102</v>
      </c>
      <c r="F176" s="42" t="s">
        <v>250</v>
      </c>
      <c r="G176" s="50" t="s">
        <v>40</v>
      </c>
      <c r="H176" s="50" t="str">
        <f>IF(LEFT('PL1(Full)'!$F176,4)="Thôn","Thôn","Tổ")</f>
        <v>Thôn</v>
      </c>
      <c r="I176" s="46">
        <v>102</v>
      </c>
      <c r="J176" s="46">
        <v>361</v>
      </c>
      <c r="K176" s="46">
        <v>83</v>
      </c>
      <c r="L176" s="47">
        <f t="shared" si="0"/>
        <v>81.372549019607845</v>
      </c>
      <c r="M176" s="46">
        <v>5</v>
      </c>
      <c r="N176" s="48">
        <f t="shared" si="1"/>
        <v>4.9019607843137258</v>
      </c>
      <c r="O176" s="46">
        <v>5</v>
      </c>
      <c r="P176" s="48">
        <f t="shared" si="2"/>
        <v>100</v>
      </c>
      <c r="Q176" s="49" t="s">
        <v>251</v>
      </c>
      <c r="R176" s="49" t="str">
        <f t="shared" si="3"/>
        <v>X</v>
      </c>
      <c r="S176" s="50"/>
      <c r="T176" s="50" t="str">
        <f>IF('PL1(Full)'!$N176&gt;=20,"x",IF(AND('PL1(Full)'!$N176&gt;=15,'PL1(Full)'!$P176&gt;60),"x",""))</f>
        <v/>
      </c>
      <c r="U176" s="50" t="str">
        <f>IF(AND('PL1(Full)'!$H176="Thôn",'PL1(Full)'!$I176&lt;75),"x",IF(AND('PL1(Full)'!$H176="Tổ",'PL1(Full)'!$I176&lt;100),"x","-"))</f>
        <v>-</v>
      </c>
      <c r="V176" s="50" t="str">
        <f>IF(AND('PL1(Full)'!$H176="Thôn",'PL1(Full)'!$I176&lt;140),"x",IF(AND('PL1(Full)'!$H176="Tổ",'PL1(Full)'!$I176&lt;210),"x","-"))</f>
        <v>x</v>
      </c>
      <c r="W176" s="51" t="str">
        <f t="shared" si="14"/>
        <v>Loại 2</v>
      </c>
      <c r="X176" s="42"/>
    </row>
    <row r="177" spans="1:24" ht="15.75" customHeight="1">
      <c r="A177" s="52">
        <f>_xlfn.AGGREGATE(4,7,A$6:A176)+1</f>
        <v>116</v>
      </c>
      <c r="B177" s="14" t="str">
        <f t="shared" si="13"/>
        <v>H. Ba Bể</v>
      </c>
      <c r="C177" s="14" t="s">
        <v>252</v>
      </c>
      <c r="D177" s="25" t="s">
        <v>58</v>
      </c>
      <c r="E177" s="25" t="s">
        <v>58</v>
      </c>
      <c r="F177" s="14" t="s">
        <v>253</v>
      </c>
      <c r="G177" s="25"/>
      <c r="H177" s="25" t="str">
        <f>IF(LEFT('PL1(Full)'!$F177,4)="Thôn","Thôn","Tổ")</f>
        <v>Thôn</v>
      </c>
      <c r="I177" s="20">
        <v>68</v>
      </c>
      <c r="J177" s="20">
        <v>293</v>
      </c>
      <c r="K177" s="20">
        <v>46</v>
      </c>
      <c r="L177" s="21">
        <f t="shared" si="0"/>
        <v>67.647058823529406</v>
      </c>
      <c r="M177" s="20">
        <v>15</v>
      </c>
      <c r="N177" s="22">
        <f t="shared" si="1"/>
        <v>22.058823529411764</v>
      </c>
      <c r="O177" s="20">
        <v>11</v>
      </c>
      <c r="P177" s="22">
        <f t="shared" si="2"/>
        <v>73.333333333333329</v>
      </c>
      <c r="Q177" s="23" t="s">
        <v>63</v>
      </c>
      <c r="R177" s="24" t="str">
        <f t="shared" si="3"/>
        <v>X</v>
      </c>
      <c r="S177" s="25" t="s">
        <v>60</v>
      </c>
      <c r="T177" s="26" t="str">
        <f>IF('PL1(Full)'!$N177&gt;=20,"x",IF(AND('PL1(Full)'!$N177&gt;=15,'PL1(Full)'!$P177&gt;60),"x",""))</f>
        <v>x</v>
      </c>
      <c r="U177" s="27" t="str">
        <f>IF(AND('PL1(Full)'!$H177="Thôn",'PL1(Full)'!$I177&lt;75),"x",IF(AND('PL1(Full)'!$H177="Tổ",'PL1(Full)'!$I177&lt;100),"x","-"))</f>
        <v>x</v>
      </c>
      <c r="V177" s="28" t="str">
        <f>IF(AND('PL1(Full)'!$H177="Thôn",'PL1(Full)'!$I177&lt;140),"x",IF(AND('PL1(Full)'!$H177="Tổ",'PL1(Full)'!$I177&lt;210),"x","-"))</f>
        <v>x</v>
      </c>
      <c r="W177" s="29" t="str">
        <f t="shared" si="14"/>
        <v>Loại 3</v>
      </c>
      <c r="X177" s="25"/>
    </row>
    <row r="178" spans="1:24" ht="15.75" hidden="1" customHeight="1">
      <c r="A178" s="30">
        <f>_xlfn.AGGREGATE(4,7,A$6:A177)+1</f>
        <v>117</v>
      </c>
      <c r="B178" s="31" t="str">
        <f t="shared" si="13"/>
        <v>H. Ba Bể</v>
      </c>
      <c r="C178" s="31" t="str">
        <f t="shared" ref="C178:C185" si="28">C177</f>
        <v>X. Yến Dương</v>
      </c>
      <c r="D178" s="34"/>
      <c r="E178" s="34" t="s">
        <v>58</v>
      </c>
      <c r="F178" s="31" t="s">
        <v>254</v>
      </c>
      <c r="G178" s="34"/>
      <c r="H178" s="34" t="str">
        <f>IF(LEFT('PL1(Full)'!$F178,4)="Thôn","Thôn","Tổ")</f>
        <v>Thôn</v>
      </c>
      <c r="I178" s="36">
        <v>92</v>
      </c>
      <c r="J178" s="36">
        <v>393</v>
      </c>
      <c r="K178" s="36">
        <v>92</v>
      </c>
      <c r="L178" s="37">
        <f t="shared" si="0"/>
        <v>100</v>
      </c>
      <c r="M178" s="36">
        <v>10</v>
      </c>
      <c r="N178" s="38">
        <f t="shared" si="1"/>
        <v>10.869565217391305</v>
      </c>
      <c r="O178" s="36">
        <v>10</v>
      </c>
      <c r="P178" s="38">
        <f t="shared" si="2"/>
        <v>100</v>
      </c>
      <c r="Q178" s="39" t="s">
        <v>56</v>
      </c>
      <c r="R178" s="39" t="str">
        <f t="shared" si="3"/>
        <v>X</v>
      </c>
      <c r="S178" s="34"/>
      <c r="T178" s="34" t="str">
        <f>IF('PL1(Full)'!$N178&gt;=20,"x",IF(AND('PL1(Full)'!$N178&gt;=15,'PL1(Full)'!$P178&gt;60),"x",""))</f>
        <v/>
      </c>
      <c r="U178" s="34" t="str">
        <f>IF(AND('PL1(Full)'!$H178="Thôn",'PL1(Full)'!$I178&lt;75),"x",IF(AND('PL1(Full)'!$H178="Tổ",'PL1(Full)'!$I178&lt;100),"x","-"))</f>
        <v>-</v>
      </c>
      <c r="V178" s="34" t="str">
        <f>IF(AND('PL1(Full)'!$H178="Thôn",'PL1(Full)'!$I178&lt;140),"x",IF(AND('PL1(Full)'!$H178="Tổ",'PL1(Full)'!$I178&lt;210),"x","-"))</f>
        <v>x</v>
      </c>
      <c r="W178" s="40" t="str">
        <f t="shared" si="14"/>
        <v>Loại 3</v>
      </c>
      <c r="X178" s="34"/>
    </row>
    <row r="179" spans="1:24" ht="15.75" hidden="1" customHeight="1">
      <c r="A179" s="30">
        <f>_xlfn.AGGREGATE(4,7,A$6:A178)+1</f>
        <v>117</v>
      </c>
      <c r="B179" s="31" t="str">
        <f t="shared" si="13"/>
        <v>H. Ba Bể</v>
      </c>
      <c r="C179" s="31" t="str">
        <f t="shared" si="28"/>
        <v>X. Yến Dương</v>
      </c>
      <c r="D179" s="34"/>
      <c r="E179" s="34" t="s">
        <v>58</v>
      </c>
      <c r="F179" s="31" t="s">
        <v>255</v>
      </c>
      <c r="G179" s="34"/>
      <c r="H179" s="34" t="str">
        <f>IF(LEFT('PL1(Full)'!$F179,4)="Thôn","Thôn","Tổ")</f>
        <v>Thôn</v>
      </c>
      <c r="I179" s="36">
        <v>84</v>
      </c>
      <c r="J179" s="36">
        <v>348</v>
      </c>
      <c r="K179" s="36">
        <v>83</v>
      </c>
      <c r="L179" s="37">
        <f t="shared" si="0"/>
        <v>98.80952380952381</v>
      </c>
      <c r="M179" s="36">
        <v>20</v>
      </c>
      <c r="N179" s="38">
        <f t="shared" si="1"/>
        <v>23.80952380952381</v>
      </c>
      <c r="O179" s="36">
        <v>19</v>
      </c>
      <c r="P179" s="38">
        <f t="shared" si="2"/>
        <v>95</v>
      </c>
      <c r="Q179" s="39" t="s">
        <v>56</v>
      </c>
      <c r="R179" s="39" t="str">
        <f t="shared" si="3"/>
        <v>X</v>
      </c>
      <c r="S179" s="34" t="s">
        <v>60</v>
      </c>
      <c r="T179" s="34" t="str">
        <f>IF('PL1(Full)'!$N179&gt;=20,"x",IF(AND('PL1(Full)'!$N179&gt;=15,'PL1(Full)'!$P179&gt;60),"x",""))</f>
        <v>x</v>
      </c>
      <c r="U179" s="34" t="str">
        <f>IF(AND('PL1(Full)'!$H179="Thôn",'PL1(Full)'!$I179&lt;75),"x",IF(AND('PL1(Full)'!$H179="Tổ",'PL1(Full)'!$I179&lt;100),"x","-"))</f>
        <v>-</v>
      </c>
      <c r="V179" s="34" t="str">
        <f>IF(AND('PL1(Full)'!$H179="Thôn",'PL1(Full)'!$I179&lt;140),"x",IF(AND('PL1(Full)'!$H179="Tổ",'PL1(Full)'!$I179&lt;210),"x","-"))</f>
        <v>x</v>
      </c>
      <c r="W179" s="40" t="str">
        <f t="shared" si="14"/>
        <v>Loại 3</v>
      </c>
      <c r="X179" s="34"/>
    </row>
    <row r="180" spans="1:24" ht="15.75" hidden="1" customHeight="1">
      <c r="A180" s="30">
        <f>_xlfn.AGGREGATE(4,7,A$6:A179)+1</f>
        <v>117</v>
      </c>
      <c r="B180" s="31" t="str">
        <f t="shared" si="13"/>
        <v>H. Ba Bể</v>
      </c>
      <c r="C180" s="31" t="str">
        <f t="shared" si="28"/>
        <v>X. Yến Dương</v>
      </c>
      <c r="D180" s="34"/>
      <c r="E180" s="34" t="s">
        <v>58</v>
      </c>
      <c r="F180" s="31" t="s">
        <v>256</v>
      </c>
      <c r="G180" s="34"/>
      <c r="H180" s="34" t="str">
        <f>IF(LEFT('PL1(Full)'!$F180,4)="Thôn","Thôn","Tổ")</f>
        <v>Thôn</v>
      </c>
      <c r="I180" s="36">
        <v>131</v>
      </c>
      <c r="J180" s="36">
        <v>565</v>
      </c>
      <c r="K180" s="36">
        <v>131</v>
      </c>
      <c r="L180" s="37">
        <f t="shared" si="0"/>
        <v>100</v>
      </c>
      <c r="M180" s="36">
        <v>38</v>
      </c>
      <c r="N180" s="38">
        <f t="shared" si="1"/>
        <v>29.007633587786259</v>
      </c>
      <c r="O180" s="36">
        <v>38</v>
      </c>
      <c r="P180" s="38">
        <f t="shared" si="2"/>
        <v>100</v>
      </c>
      <c r="Q180" s="39" t="s">
        <v>56</v>
      </c>
      <c r="R180" s="39" t="str">
        <f t="shared" si="3"/>
        <v>X</v>
      </c>
      <c r="S180" s="34" t="s">
        <v>60</v>
      </c>
      <c r="T180" s="34" t="str">
        <f>IF('PL1(Full)'!$N180&gt;=20,"x",IF(AND('PL1(Full)'!$N180&gt;=15,'PL1(Full)'!$P180&gt;60),"x",""))</f>
        <v>x</v>
      </c>
      <c r="U180" s="34" t="str">
        <f>IF(AND('PL1(Full)'!$H180="Thôn",'PL1(Full)'!$I180&lt;75),"x",IF(AND('PL1(Full)'!$H180="Tổ",'PL1(Full)'!$I180&lt;100),"x","-"))</f>
        <v>-</v>
      </c>
      <c r="V180" s="34" t="str">
        <f>IF(AND('PL1(Full)'!$H180="Thôn",'PL1(Full)'!$I180&lt;140),"x",IF(AND('PL1(Full)'!$H180="Tổ",'PL1(Full)'!$I180&lt;210),"x","-"))</f>
        <v>x</v>
      </c>
      <c r="W180" s="40" t="str">
        <f t="shared" si="14"/>
        <v>Loại 2</v>
      </c>
      <c r="X180" s="34"/>
    </row>
    <row r="181" spans="1:24" ht="15.75" hidden="1" customHeight="1">
      <c r="A181" s="30">
        <f>_xlfn.AGGREGATE(4,7,A$6:A180)+1</f>
        <v>117</v>
      </c>
      <c r="B181" s="31" t="str">
        <f t="shared" si="13"/>
        <v>H. Ba Bể</v>
      </c>
      <c r="C181" s="31" t="str">
        <f t="shared" si="28"/>
        <v>X. Yến Dương</v>
      </c>
      <c r="D181" s="34"/>
      <c r="E181" s="34" t="s">
        <v>58</v>
      </c>
      <c r="F181" s="31" t="s">
        <v>184</v>
      </c>
      <c r="G181" s="34"/>
      <c r="H181" s="34" t="str">
        <f>IF(LEFT('PL1(Full)'!$F181,4)="Thôn","Thôn","Tổ")</f>
        <v>Thôn</v>
      </c>
      <c r="I181" s="36">
        <v>85</v>
      </c>
      <c r="J181" s="36">
        <v>396</v>
      </c>
      <c r="K181" s="36">
        <v>85</v>
      </c>
      <c r="L181" s="37">
        <f t="shared" si="0"/>
        <v>100</v>
      </c>
      <c r="M181" s="36">
        <v>15</v>
      </c>
      <c r="N181" s="38">
        <f t="shared" si="1"/>
        <v>17.647058823529413</v>
      </c>
      <c r="O181" s="36">
        <v>15</v>
      </c>
      <c r="P181" s="38">
        <f t="shared" si="2"/>
        <v>100</v>
      </c>
      <c r="Q181" s="39" t="s">
        <v>63</v>
      </c>
      <c r="R181" s="39" t="str">
        <f t="shared" si="3"/>
        <v>X</v>
      </c>
      <c r="S181" s="34" t="s">
        <v>60</v>
      </c>
      <c r="T181" s="34" t="str">
        <f>IF('PL1(Full)'!$N181&gt;=20,"x",IF(AND('PL1(Full)'!$N181&gt;=15,'PL1(Full)'!$P181&gt;60),"x",""))</f>
        <v>x</v>
      </c>
      <c r="U181" s="34" t="str">
        <f>IF(AND('PL1(Full)'!$H181="Thôn",'PL1(Full)'!$I181&lt;75),"x",IF(AND('PL1(Full)'!$H181="Tổ",'PL1(Full)'!$I181&lt;100),"x","-"))</f>
        <v>-</v>
      </c>
      <c r="V181" s="34" t="str">
        <f>IF(AND('PL1(Full)'!$H181="Thôn",'PL1(Full)'!$I181&lt;140),"x",IF(AND('PL1(Full)'!$H181="Tổ",'PL1(Full)'!$I181&lt;210),"x","-"))</f>
        <v>x</v>
      </c>
      <c r="W181" s="40" t="str">
        <f t="shared" si="14"/>
        <v>Loại 3</v>
      </c>
      <c r="X181" s="34"/>
    </row>
    <row r="182" spans="1:24" ht="15.75" customHeight="1">
      <c r="A182" s="30">
        <f>_xlfn.AGGREGATE(4,7,A$6:A181)+1</f>
        <v>117</v>
      </c>
      <c r="B182" s="31" t="str">
        <f t="shared" si="13"/>
        <v>H. Ba Bể</v>
      </c>
      <c r="C182" s="31" t="str">
        <f t="shared" si="28"/>
        <v>X. Yến Dương</v>
      </c>
      <c r="D182" s="34"/>
      <c r="E182" s="34" t="s">
        <v>58</v>
      </c>
      <c r="F182" s="31" t="s">
        <v>257</v>
      </c>
      <c r="G182" s="34"/>
      <c r="H182" s="34" t="str">
        <f>IF(LEFT('PL1(Full)'!$F182,4)="Thôn","Thôn","Tổ")</f>
        <v>Thôn</v>
      </c>
      <c r="I182" s="36">
        <v>69</v>
      </c>
      <c r="J182" s="36">
        <v>283</v>
      </c>
      <c r="K182" s="36">
        <v>69</v>
      </c>
      <c r="L182" s="37">
        <f t="shared" si="0"/>
        <v>100</v>
      </c>
      <c r="M182" s="36">
        <v>29</v>
      </c>
      <c r="N182" s="38">
        <f t="shared" si="1"/>
        <v>42.028985507246375</v>
      </c>
      <c r="O182" s="36">
        <v>29</v>
      </c>
      <c r="P182" s="38">
        <f t="shared" si="2"/>
        <v>100</v>
      </c>
      <c r="Q182" s="39" t="s">
        <v>63</v>
      </c>
      <c r="R182" s="39" t="str">
        <f t="shared" si="3"/>
        <v>X</v>
      </c>
      <c r="S182" s="34" t="s">
        <v>60</v>
      </c>
      <c r="T182" s="34" t="str">
        <f>IF('PL1(Full)'!$N182&gt;=20,"x",IF(AND('PL1(Full)'!$N182&gt;=15,'PL1(Full)'!$P182&gt;60),"x",""))</f>
        <v>x</v>
      </c>
      <c r="U182" s="34" t="str">
        <f>IF(AND('PL1(Full)'!$H182="Thôn",'PL1(Full)'!$I182&lt;75),"x",IF(AND('PL1(Full)'!$H182="Tổ",'PL1(Full)'!$I182&lt;100),"x","-"))</f>
        <v>x</v>
      </c>
      <c r="V182" s="34" t="str">
        <f>IF(AND('PL1(Full)'!$H182="Thôn",'PL1(Full)'!$I182&lt;140),"x",IF(AND('PL1(Full)'!$H182="Tổ",'PL1(Full)'!$I182&lt;210),"x","-"))</f>
        <v>x</v>
      </c>
      <c r="W182" s="40" t="str">
        <f t="shared" si="14"/>
        <v>Loại 3</v>
      </c>
      <c r="X182" s="34"/>
    </row>
    <row r="183" spans="1:24" ht="15.75" customHeight="1">
      <c r="A183" s="30">
        <f>_xlfn.AGGREGATE(4,7,A$6:A182)+1</f>
        <v>118</v>
      </c>
      <c r="B183" s="31" t="str">
        <f t="shared" si="13"/>
        <v>H. Ba Bể</v>
      </c>
      <c r="C183" s="31" t="str">
        <f t="shared" si="28"/>
        <v>X. Yến Dương</v>
      </c>
      <c r="D183" s="34"/>
      <c r="E183" s="34" t="s">
        <v>58</v>
      </c>
      <c r="F183" s="31" t="s">
        <v>258</v>
      </c>
      <c r="G183" s="34"/>
      <c r="H183" s="34" t="str">
        <f>IF(LEFT('PL1(Full)'!$F183,4)="Thôn","Thôn","Tổ")</f>
        <v>Thôn</v>
      </c>
      <c r="I183" s="36">
        <v>54</v>
      </c>
      <c r="J183" s="36">
        <v>234</v>
      </c>
      <c r="K183" s="36">
        <v>52</v>
      </c>
      <c r="L183" s="37">
        <f t="shared" si="0"/>
        <v>96.296296296296291</v>
      </c>
      <c r="M183" s="36">
        <v>6</v>
      </c>
      <c r="N183" s="38">
        <f t="shared" si="1"/>
        <v>11.111111111111111</v>
      </c>
      <c r="O183" s="36">
        <v>6</v>
      </c>
      <c r="P183" s="38">
        <f t="shared" si="2"/>
        <v>100</v>
      </c>
      <c r="Q183" s="39" t="s">
        <v>56</v>
      </c>
      <c r="R183" s="39" t="str">
        <f t="shared" si="3"/>
        <v>X</v>
      </c>
      <c r="S183" s="34"/>
      <c r="T183" s="34" t="str">
        <f>IF('PL1(Full)'!$N183&gt;=20,"x",IF(AND('PL1(Full)'!$N183&gt;=15,'PL1(Full)'!$P183&gt;60),"x",""))</f>
        <v/>
      </c>
      <c r="U183" s="34" t="str">
        <f>IF(AND('PL1(Full)'!$H183="Thôn",'PL1(Full)'!$I183&lt;75),"x",IF(AND('PL1(Full)'!$H183="Tổ",'PL1(Full)'!$I183&lt;100),"x","-"))</f>
        <v>x</v>
      </c>
      <c r="V183" s="34" t="str">
        <f>IF(AND('PL1(Full)'!$H183="Thôn",'PL1(Full)'!$I183&lt;140),"x",IF(AND('PL1(Full)'!$H183="Tổ",'PL1(Full)'!$I183&lt;210),"x","-"))</f>
        <v>x</v>
      </c>
      <c r="W183" s="40" t="str">
        <f t="shared" si="14"/>
        <v>Loại 3</v>
      </c>
      <c r="X183" s="34"/>
    </row>
    <row r="184" spans="1:24" ht="15.75" customHeight="1">
      <c r="A184" s="30">
        <f>_xlfn.AGGREGATE(4,7,A$6:A183)+1</f>
        <v>119</v>
      </c>
      <c r="B184" s="31" t="str">
        <f t="shared" si="13"/>
        <v>H. Ba Bể</v>
      </c>
      <c r="C184" s="31" t="str">
        <f t="shared" si="28"/>
        <v>X. Yến Dương</v>
      </c>
      <c r="D184" s="34"/>
      <c r="E184" s="34" t="s">
        <v>58</v>
      </c>
      <c r="F184" s="31" t="s">
        <v>259</v>
      </c>
      <c r="G184" s="34"/>
      <c r="H184" s="34" t="str">
        <f>IF(LEFT('PL1(Full)'!$F184,4)="Thôn","Thôn","Tổ")</f>
        <v>Thôn</v>
      </c>
      <c r="I184" s="36">
        <v>21</v>
      </c>
      <c r="J184" s="36">
        <v>97</v>
      </c>
      <c r="K184" s="36">
        <v>21</v>
      </c>
      <c r="L184" s="37">
        <f t="shared" si="0"/>
        <v>100</v>
      </c>
      <c r="M184" s="36">
        <v>8</v>
      </c>
      <c r="N184" s="38">
        <f t="shared" si="1"/>
        <v>38.095238095238095</v>
      </c>
      <c r="O184" s="36">
        <v>8</v>
      </c>
      <c r="P184" s="38">
        <f t="shared" si="2"/>
        <v>100</v>
      </c>
      <c r="Q184" s="39" t="s">
        <v>63</v>
      </c>
      <c r="R184" s="39" t="str">
        <f t="shared" si="3"/>
        <v>X</v>
      </c>
      <c r="S184" s="34" t="s">
        <v>60</v>
      </c>
      <c r="T184" s="34" t="str">
        <f>IF('PL1(Full)'!$N184&gt;=20,"x",IF(AND('PL1(Full)'!$N184&gt;=15,'PL1(Full)'!$P184&gt;60),"x",""))</f>
        <v>x</v>
      </c>
      <c r="U184" s="34" t="str">
        <f>IF(AND('PL1(Full)'!$H184="Thôn",'PL1(Full)'!$I184&lt;75),"x",IF(AND('PL1(Full)'!$H184="Tổ",'PL1(Full)'!$I184&lt;100),"x","-"))</f>
        <v>x</v>
      </c>
      <c r="V184" s="34" t="str">
        <f>IF(AND('PL1(Full)'!$H184="Thôn",'PL1(Full)'!$I184&lt;140),"x",IF(AND('PL1(Full)'!$H184="Tổ",'PL1(Full)'!$I184&lt;210),"x","-"))</f>
        <v>x</v>
      </c>
      <c r="W184" s="40" t="str">
        <f t="shared" si="14"/>
        <v>Loại 3</v>
      </c>
      <c r="X184" s="34"/>
    </row>
    <row r="185" spans="1:24" ht="15.75" customHeight="1">
      <c r="A185" s="41">
        <f>_xlfn.AGGREGATE(4,7,A$6:A184)+1</f>
        <v>120</v>
      </c>
      <c r="B185" s="42" t="str">
        <f t="shared" si="13"/>
        <v>H. Ba Bể</v>
      </c>
      <c r="C185" s="42" t="str">
        <f t="shared" si="28"/>
        <v>X. Yến Dương</v>
      </c>
      <c r="D185" s="50"/>
      <c r="E185" s="50" t="s">
        <v>58</v>
      </c>
      <c r="F185" s="42" t="s">
        <v>260</v>
      </c>
      <c r="G185" s="50"/>
      <c r="H185" s="50" t="str">
        <f>IF(LEFT('PL1(Full)'!$F185,4)="Thôn","Thôn","Tổ")</f>
        <v>Thôn</v>
      </c>
      <c r="I185" s="46">
        <v>41</v>
      </c>
      <c r="J185" s="46">
        <v>179</v>
      </c>
      <c r="K185" s="46">
        <v>41</v>
      </c>
      <c r="L185" s="47">
        <f t="shared" si="0"/>
        <v>100</v>
      </c>
      <c r="M185" s="46">
        <v>14</v>
      </c>
      <c r="N185" s="48">
        <f t="shared" si="1"/>
        <v>34.146341463414636</v>
      </c>
      <c r="O185" s="46">
        <v>14</v>
      </c>
      <c r="P185" s="48">
        <f t="shared" si="2"/>
        <v>100</v>
      </c>
      <c r="Q185" s="39" t="s">
        <v>63</v>
      </c>
      <c r="R185" s="56" t="str">
        <f t="shared" si="3"/>
        <v>X</v>
      </c>
      <c r="S185" s="50" t="s">
        <v>60</v>
      </c>
      <c r="T185" s="50" t="str">
        <f>IF('PL1(Full)'!$N185&gt;=20,"x",IF(AND('PL1(Full)'!$N185&gt;=15,'PL1(Full)'!$P185&gt;60),"x",""))</f>
        <v>x</v>
      </c>
      <c r="U185" s="50" t="str">
        <f>IF(AND('PL1(Full)'!$H185="Thôn",'PL1(Full)'!$I185&lt;75),"x",IF(AND('PL1(Full)'!$H185="Tổ",'PL1(Full)'!$I185&lt;100),"x","-"))</f>
        <v>x</v>
      </c>
      <c r="V185" s="34" t="str">
        <f>IF(AND('PL1(Full)'!$H185="Thôn",'PL1(Full)'!$I185&lt;140),"x",IF(AND('PL1(Full)'!$H185="Tổ",'PL1(Full)'!$I185&lt;210),"x","-"))</f>
        <v>x</v>
      </c>
      <c r="W185" s="51" t="str">
        <f t="shared" si="14"/>
        <v>Loại 3</v>
      </c>
      <c r="X185" s="50"/>
    </row>
    <row r="186" spans="1:24" ht="15.75" customHeight="1">
      <c r="A186" s="12">
        <f>_xlfn.AGGREGATE(4,7,A$6:A185)+1</f>
        <v>121</v>
      </c>
      <c r="B186" s="13" t="s">
        <v>261</v>
      </c>
      <c r="C186" s="14" t="s">
        <v>262</v>
      </c>
      <c r="D186" s="15" t="s">
        <v>36</v>
      </c>
      <c r="E186" s="16" t="s">
        <v>36</v>
      </c>
      <c r="F186" s="65" t="s">
        <v>263</v>
      </c>
      <c r="G186" s="18"/>
      <c r="H186" s="18" t="str">
        <f>IF(LEFT('PL1(Full)'!$F186,4)="Thôn","Thôn","Tổ")</f>
        <v>Thôn</v>
      </c>
      <c r="I186" s="19">
        <v>72</v>
      </c>
      <c r="J186" s="19">
        <v>287</v>
      </c>
      <c r="K186" s="19">
        <v>56</v>
      </c>
      <c r="L186" s="21">
        <f t="shared" si="0"/>
        <v>77.777777777777771</v>
      </c>
      <c r="M186" s="19">
        <v>0</v>
      </c>
      <c r="N186" s="22">
        <f t="shared" si="1"/>
        <v>0</v>
      </c>
      <c r="O186" s="19">
        <v>0</v>
      </c>
      <c r="P186" s="22">
        <f t="shared" si="2"/>
        <v>0</v>
      </c>
      <c r="Q186" s="72" t="s">
        <v>82</v>
      </c>
      <c r="R186" s="72" t="str">
        <f t="shared" si="3"/>
        <v>X</v>
      </c>
      <c r="S186" s="73"/>
      <c r="T186" s="26" t="str">
        <f>IF('PL1(Full)'!$N186&gt;=20,"x",IF(AND('PL1(Full)'!$N186&gt;=15,'PL1(Full)'!$P186&gt;60),"x",""))</f>
        <v/>
      </c>
      <c r="U186" s="27" t="str">
        <f>IF(AND('PL1(Full)'!$H186="Thôn",'PL1(Full)'!$I186&lt;75),"x",IF(AND('PL1(Full)'!$H186="Tổ",'PL1(Full)'!$I186&lt;100),"x","-"))</f>
        <v>x</v>
      </c>
      <c r="V186" s="28" t="str">
        <f>IF(AND('PL1(Full)'!$H186="Thôn",'PL1(Full)'!$I186&lt;140),"x",IF(AND('PL1(Full)'!$H186="Tổ",'PL1(Full)'!$I186&lt;210),"x","-"))</f>
        <v>x</v>
      </c>
      <c r="W186" s="29" t="str">
        <f t="shared" si="14"/>
        <v>Loại 3</v>
      </c>
      <c r="X186" s="18"/>
    </row>
    <row r="187" spans="1:24" ht="15.75" customHeight="1">
      <c r="A187" s="30">
        <f>_xlfn.AGGREGATE(4,7,A$6:A186)+1</f>
        <v>122</v>
      </c>
      <c r="B187" s="54" t="str">
        <f t="shared" ref="B187:C187" si="29">B186</f>
        <v>H. Bạch Thông</v>
      </c>
      <c r="C187" s="66" t="str">
        <f t="shared" si="29"/>
        <v>TT. Phủ Thông</v>
      </c>
      <c r="D187" s="32"/>
      <c r="E187" s="32" t="s">
        <v>36</v>
      </c>
      <c r="F187" s="66" t="s">
        <v>264</v>
      </c>
      <c r="G187" s="32"/>
      <c r="H187" s="32" t="str">
        <f>IF(LEFT('PL1(Full)'!$F187,4)="Thôn","Thôn","Tổ")</f>
        <v>Thôn</v>
      </c>
      <c r="I187" s="35">
        <v>18</v>
      </c>
      <c r="J187" s="35">
        <v>78</v>
      </c>
      <c r="K187" s="35">
        <v>18</v>
      </c>
      <c r="L187" s="37">
        <f t="shared" si="0"/>
        <v>100</v>
      </c>
      <c r="M187" s="35">
        <v>6</v>
      </c>
      <c r="N187" s="38">
        <f t="shared" si="1"/>
        <v>33.333333333333336</v>
      </c>
      <c r="O187" s="35">
        <v>6</v>
      </c>
      <c r="P187" s="38">
        <f t="shared" si="2"/>
        <v>100</v>
      </c>
      <c r="Q187" s="74" t="s">
        <v>158</v>
      </c>
      <c r="R187" s="74" t="str">
        <f t="shared" si="3"/>
        <v>X</v>
      </c>
      <c r="S187" s="75" t="s">
        <v>60</v>
      </c>
      <c r="T187" s="34" t="str">
        <f>IF('PL1(Full)'!$N187&gt;=20,"x",IF(AND('PL1(Full)'!$N187&gt;=15,'PL1(Full)'!$P187&gt;60),"x",""))</f>
        <v>x</v>
      </c>
      <c r="U187" s="34" t="str">
        <f>IF(AND('PL1(Full)'!$H187="Thôn",'PL1(Full)'!$I187&lt;75),"x",IF(AND('PL1(Full)'!$H187="Tổ",'PL1(Full)'!$I187&lt;100),"x","-"))</f>
        <v>x</v>
      </c>
      <c r="V187" s="34" t="str">
        <f>IF(AND('PL1(Full)'!$H187="Thôn",'PL1(Full)'!$I187&lt;140),"x",IF(AND('PL1(Full)'!$H187="Tổ",'PL1(Full)'!$I187&lt;210),"x","-"))</f>
        <v>x</v>
      </c>
      <c r="W187" s="40" t="str">
        <f t="shared" si="14"/>
        <v>Loại 3</v>
      </c>
      <c r="X187" s="32"/>
    </row>
    <row r="188" spans="1:24" ht="15.75" customHeight="1">
      <c r="A188" s="30">
        <f>_xlfn.AGGREGATE(4,7,A$6:A187)+1</f>
        <v>123</v>
      </c>
      <c r="B188" s="54" t="str">
        <f t="shared" ref="B188:C188" si="30">B187</f>
        <v>H. Bạch Thông</v>
      </c>
      <c r="C188" s="66" t="str">
        <f t="shared" si="30"/>
        <v>TT. Phủ Thông</v>
      </c>
      <c r="D188" s="32"/>
      <c r="E188" s="32" t="s">
        <v>36</v>
      </c>
      <c r="F188" s="66" t="s">
        <v>265</v>
      </c>
      <c r="G188" s="32"/>
      <c r="H188" s="32" t="str">
        <f>IF(LEFT('PL1(Full)'!$F188,4)="Thôn","Thôn","Tổ")</f>
        <v>Thôn</v>
      </c>
      <c r="I188" s="35">
        <v>27</v>
      </c>
      <c r="J188" s="35">
        <v>97</v>
      </c>
      <c r="K188" s="35">
        <v>27</v>
      </c>
      <c r="L188" s="37">
        <f t="shared" si="0"/>
        <v>100</v>
      </c>
      <c r="M188" s="35">
        <v>4</v>
      </c>
      <c r="N188" s="38">
        <f t="shared" si="1"/>
        <v>14.814814814814815</v>
      </c>
      <c r="O188" s="35">
        <v>4</v>
      </c>
      <c r="P188" s="38">
        <f t="shared" si="2"/>
        <v>100</v>
      </c>
      <c r="Q188" s="74" t="s">
        <v>82</v>
      </c>
      <c r="R188" s="74" t="str">
        <f t="shared" si="3"/>
        <v>X</v>
      </c>
      <c r="S188" s="75" t="s">
        <v>60</v>
      </c>
      <c r="T188" s="34" t="str">
        <f>IF('PL1(Full)'!$N188&gt;=20,"x",IF(AND('PL1(Full)'!$N188&gt;=15,'PL1(Full)'!$P188&gt;60),"x",""))</f>
        <v/>
      </c>
      <c r="U188" s="34" t="str">
        <f>IF(AND('PL1(Full)'!$H188="Thôn",'PL1(Full)'!$I188&lt;75),"x",IF(AND('PL1(Full)'!$H188="Tổ",'PL1(Full)'!$I188&lt;100),"x","-"))</f>
        <v>x</v>
      </c>
      <c r="V188" s="34" t="str">
        <f>IF(AND('PL1(Full)'!$H188="Thôn",'PL1(Full)'!$I188&lt;140),"x",IF(AND('PL1(Full)'!$H188="Tổ",'PL1(Full)'!$I188&lt;210),"x","-"))</f>
        <v>x</v>
      </c>
      <c r="W188" s="40" t="str">
        <f t="shared" si="14"/>
        <v>Loại 3</v>
      </c>
      <c r="X188" s="32"/>
    </row>
    <row r="189" spans="1:24" ht="15.75" customHeight="1">
      <c r="A189" s="30">
        <f>_xlfn.AGGREGATE(4,7,A$6:A188)+1</f>
        <v>124</v>
      </c>
      <c r="B189" s="54" t="str">
        <f t="shared" ref="B189:C189" si="31">B188</f>
        <v>H. Bạch Thông</v>
      </c>
      <c r="C189" s="66" t="str">
        <f t="shared" si="31"/>
        <v>TT. Phủ Thông</v>
      </c>
      <c r="D189" s="32"/>
      <c r="E189" s="32" t="s">
        <v>36</v>
      </c>
      <c r="F189" s="66" t="s">
        <v>266</v>
      </c>
      <c r="G189" s="32"/>
      <c r="H189" s="32" t="str">
        <f>IF(LEFT('PL1(Full)'!$F189,4)="Thôn","Thôn","Tổ")</f>
        <v>Thôn</v>
      </c>
      <c r="I189" s="35">
        <v>43</v>
      </c>
      <c r="J189" s="35">
        <v>158</v>
      </c>
      <c r="K189" s="35">
        <v>38</v>
      </c>
      <c r="L189" s="37">
        <f t="shared" si="0"/>
        <v>88.372093023255815</v>
      </c>
      <c r="M189" s="35">
        <v>7</v>
      </c>
      <c r="N189" s="38">
        <f t="shared" si="1"/>
        <v>16.279069767441861</v>
      </c>
      <c r="O189" s="35">
        <v>7</v>
      </c>
      <c r="P189" s="38">
        <f t="shared" si="2"/>
        <v>100</v>
      </c>
      <c r="Q189" s="74" t="s">
        <v>49</v>
      </c>
      <c r="R189" s="74" t="str">
        <f t="shared" si="3"/>
        <v>X</v>
      </c>
      <c r="S189" s="75" t="s">
        <v>60</v>
      </c>
      <c r="T189" s="34" t="str">
        <f>IF('PL1(Full)'!$N189&gt;=20,"x",IF(AND('PL1(Full)'!$N189&gt;=15,'PL1(Full)'!$P189&gt;60),"x",""))</f>
        <v>x</v>
      </c>
      <c r="U189" s="34" t="str">
        <f>IF(AND('PL1(Full)'!$H189="Thôn",'PL1(Full)'!$I189&lt;75),"x",IF(AND('PL1(Full)'!$H189="Tổ",'PL1(Full)'!$I189&lt;100),"x","-"))</f>
        <v>x</v>
      </c>
      <c r="V189" s="34" t="str">
        <f>IF(AND('PL1(Full)'!$H189="Thôn",'PL1(Full)'!$I189&lt;140),"x",IF(AND('PL1(Full)'!$H189="Tổ",'PL1(Full)'!$I189&lt;210),"x","-"))</f>
        <v>x</v>
      </c>
      <c r="W189" s="40" t="str">
        <f t="shared" si="14"/>
        <v>Loại 3</v>
      </c>
      <c r="X189" s="32"/>
    </row>
    <row r="190" spans="1:24" ht="15.75" customHeight="1">
      <c r="A190" s="30">
        <f>_xlfn.AGGREGATE(4,7,A$6:A189)+1</f>
        <v>125</v>
      </c>
      <c r="B190" s="54" t="str">
        <f t="shared" ref="B190:C190" si="32">B189</f>
        <v>H. Bạch Thông</v>
      </c>
      <c r="C190" s="66" t="str">
        <f t="shared" si="32"/>
        <v>TT. Phủ Thông</v>
      </c>
      <c r="D190" s="32"/>
      <c r="E190" s="32" t="s">
        <v>36</v>
      </c>
      <c r="F190" s="66" t="s">
        <v>267</v>
      </c>
      <c r="G190" s="32"/>
      <c r="H190" s="32" t="str">
        <f>IF(LEFT('PL1(Full)'!$F190,4)="Thôn","Thôn","Tổ")</f>
        <v>Thôn</v>
      </c>
      <c r="I190" s="35">
        <v>52</v>
      </c>
      <c r="J190" s="35">
        <v>221</v>
      </c>
      <c r="K190" s="35">
        <v>42</v>
      </c>
      <c r="L190" s="37">
        <f t="shared" si="0"/>
        <v>80.769230769230774</v>
      </c>
      <c r="M190" s="35">
        <v>2</v>
      </c>
      <c r="N190" s="38">
        <f t="shared" si="1"/>
        <v>3.8461538461538463</v>
      </c>
      <c r="O190" s="35">
        <v>2</v>
      </c>
      <c r="P190" s="38">
        <f t="shared" si="2"/>
        <v>100</v>
      </c>
      <c r="Q190" s="76" t="s">
        <v>49</v>
      </c>
      <c r="R190" s="76" t="str">
        <f t="shared" si="3"/>
        <v>X</v>
      </c>
      <c r="S190" s="77"/>
      <c r="T190" s="34" t="str">
        <f>IF('PL1(Full)'!$N190&gt;=20,"x",IF(AND('PL1(Full)'!$N190&gt;=15,'PL1(Full)'!$P190&gt;60),"x",""))</f>
        <v/>
      </c>
      <c r="U190" s="34" t="str">
        <f>IF(AND('PL1(Full)'!$H190="Thôn",'PL1(Full)'!$I190&lt;75),"x",IF(AND('PL1(Full)'!$H190="Tổ",'PL1(Full)'!$I190&lt;100),"x","-"))</f>
        <v>x</v>
      </c>
      <c r="V190" s="34" t="str">
        <f>IF(AND('PL1(Full)'!$H190="Thôn",'PL1(Full)'!$I190&lt;140),"x",IF(AND('PL1(Full)'!$H190="Tổ",'PL1(Full)'!$I190&lt;210),"x","-"))</f>
        <v>x</v>
      </c>
      <c r="W190" s="40" t="str">
        <f t="shared" si="14"/>
        <v>Loại 3</v>
      </c>
      <c r="X190" s="32"/>
    </row>
    <row r="191" spans="1:24" ht="15.75" hidden="1" customHeight="1">
      <c r="A191" s="30">
        <f>_xlfn.AGGREGATE(4,7,A$6:A190)+1</f>
        <v>126</v>
      </c>
      <c r="B191" s="54" t="str">
        <f t="shared" ref="B191:C191" si="33">B190</f>
        <v>H. Bạch Thông</v>
      </c>
      <c r="C191" s="66" t="str">
        <f t="shared" si="33"/>
        <v>TT. Phủ Thông</v>
      </c>
      <c r="D191" s="32"/>
      <c r="E191" s="32" t="s">
        <v>36</v>
      </c>
      <c r="F191" s="66" t="s">
        <v>268</v>
      </c>
      <c r="G191" s="32"/>
      <c r="H191" s="32" t="str">
        <f>IF(LEFT('PL1(Full)'!$F191,4)="Thôn","Thôn","Tổ")</f>
        <v>Tổ</v>
      </c>
      <c r="I191" s="35">
        <v>112</v>
      </c>
      <c r="J191" s="35">
        <v>394</v>
      </c>
      <c r="K191" s="35">
        <v>73</v>
      </c>
      <c r="L191" s="37">
        <f t="shared" si="0"/>
        <v>65.178571428571431</v>
      </c>
      <c r="M191" s="35">
        <v>6</v>
      </c>
      <c r="N191" s="38">
        <f t="shared" si="1"/>
        <v>5.3571428571428568</v>
      </c>
      <c r="O191" s="35">
        <v>4</v>
      </c>
      <c r="P191" s="38">
        <f t="shared" si="2"/>
        <v>66.666666666666671</v>
      </c>
      <c r="Q191" s="76" t="s">
        <v>47</v>
      </c>
      <c r="R191" s="76" t="str">
        <f t="shared" si="3"/>
        <v>X</v>
      </c>
      <c r="S191" s="77"/>
      <c r="T191" s="34" t="str">
        <f>IF('PL1(Full)'!$N191&gt;=20,"x",IF(AND('PL1(Full)'!$N191&gt;=15,'PL1(Full)'!$P191&gt;60),"x",""))</f>
        <v/>
      </c>
      <c r="U191" s="34" t="str">
        <f>IF(AND('PL1(Full)'!$H191="Thôn",'PL1(Full)'!$I191&lt;75),"x",IF(AND('PL1(Full)'!$H191="Tổ",'PL1(Full)'!$I191&lt;100),"x","-"))</f>
        <v>-</v>
      </c>
      <c r="V191" s="34" t="str">
        <f>IF(AND('PL1(Full)'!$H191="Thôn",'PL1(Full)'!$I191&lt;140),"x",IF(AND('PL1(Full)'!$H191="Tổ",'PL1(Full)'!$I191&lt;210),"x","-"))</f>
        <v>x</v>
      </c>
      <c r="W191" s="40" t="str">
        <f t="shared" ref="W191:W196" si="34">IF(I191&gt;=200,"Loại 1",IF(I191&gt;=150,"Loại 2","Loại 3"))</f>
        <v>Loại 3</v>
      </c>
      <c r="X191" s="32"/>
    </row>
    <row r="192" spans="1:24" ht="15.75" customHeight="1">
      <c r="A192" s="30">
        <f>_xlfn.AGGREGATE(4,7,A$6:A191)+1</f>
        <v>126</v>
      </c>
      <c r="B192" s="54" t="str">
        <f t="shared" ref="B192:C192" si="35">B191</f>
        <v>H. Bạch Thông</v>
      </c>
      <c r="C192" s="66" t="str">
        <f t="shared" si="35"/>
        <v>TT. Phủ Thông</v>
      </c>
      <c r="D192" s="32"/>
      <c r="E192" s="32" t="s">
        <v>36</v>
      </c>
      <c r="F192" s="66" t="s">
        <v>269</v>
      </c>
      <c r="G192" s="32"/>
      <c r="H192" s="32" t="str">
        <f>IF(LEFT('PL1(Full)'!$F192,4)="Thôn","Thôn","Tổ")</f>
        <v>Tổ</v>
      </c>
      <c r="I192" s="35">
        <v>91</v>
      </c>
      <c r="J192" s="35">
        <v>332</v>
      </c>
      <c r="K192" s="35">
        <v>81</v>
      </c>
      <c r="L192" s="37">
        <f t="shared" si="0"/>
        <v>89.010989010989007</v>
      </c>
      <c r="M192" s="35">
        <v>1</v>
      </c>
      <c r="N192" s="38">
        <f t="shared" si="1"/>
        <v>1.098901098901099</v>
      </c>
      <c r="O192" s="35">
        <v>1</v>
      </c>
      <c r="P192" s="38">
        <f t="shared" si="2"/>
        <v>100</v>
      </c>
      <c r="Q192" s="76" t="s">
        <v>150</v>
      </c>
      <c r="R192" s="76" t="str">
        <f t="shared" si="3"/>
        <v>X</v>
      </c>
      <c r="S192" s="77"/>
      <c r="T192" s="34" t="str">
        <f>IF('PL1(Full)'!$N192&gt;=20,"x",IF(AND('PL1(Full)'!$N192&gt;=15,'PL1(Full)'!$P192&gt;60),"x",""))</f>
        <v/>
      </c>
      <c r="U192" s="34" t="str">
        <f>IF(AND('PL1(Full)'!$H192="Thôn",'PL1(Full)'!$I192&lt;75),"x",IF(AND('PL1(Full)'!$H192="Tổ",'PL1(Full)'!$I192&lt;100),"x","-"))</f>
        <v>x</v>
      </c>
      <c r="V192" s="34" t="str">
        <f>IF(AND('PL1(Full)'!$H192="Thôn",'PL1(Full)'!$I192&lt;140),"x",IF(AND('PL1(Full)'!$H192="Tổ",'PL1(Full)'!$I192&lt;210),"x","-"))</f>
        <v>x</v>
      </c>
      <c r="W192" s="40" t="str">
        <f t="shared" si="34"/>
        <v>Loại 3</v>
      </c>
      <c r="X192" s="32"/>
    </row>
    <row r="193" spans="1:24" ht="15.75" hidden="1" customHeight="1">
      <c r="A193" s="30">
        <f>_xlfn.AGGREGATE(4,7,A$6:A192)+1</f>
        <v>127</v>
      </c>
      <c r="B193" s="54" t="str">
        <f t="shared" ref="B193:C193" si="36">B192</f>
        <v>H. Bạch Thông</v>
      </c>
      <c r="C193" s="66" t="str">
        <f t="shared" si="36"/>
        <v>TT. Phủ Thông</v>
      </c>
      <c r="D193" s="32"/>
      <c r="E193" s="32" t="s">
        <v>36</v>
      </c>
      <c r="F193" s="66" t="s">
        <v>270</v>
      </c>
      <c r="G193" s="32"/>
      <c r="H193" s="32" t="str">
        <f>IF(LEFT('PL1(Full)'!$F193,4)="Thôn","Thôn","Tổ")</f>
        <v>Tổ</v>
      </c>
      <c r="I193" s="35">
        <v>151</v>
      </c>
      <c r="J193" s="35">
        <v>534</v>
      </c>
      <c r="K193" s="35">
        <v>120</v>
      </c>
      <c r="L193" s="37">
        <f t="shared" si="0"/>
        <v>79.47019867549669</v>
      </c>
      <c r="M193" s="35">
        <v>7</v>
      </c>
      <c r="N193" s="38">
        <f t="shared" si="1"/>
        <v>4.6357615894039732</v>
      </c>
      <c r="O193" s="35">
        <v>7</v>
      </c>
      <c r="P193" s="38">
        <f t="shared" si="2"/>
        <v>100</v>
      </c>
      <c r="Q193" s="76" t="s">
        <v>56</v>
      </c>
      <c r="R193" s="76" t="str">
        <f t="shared" si="3"/>
        <v>X</v>
      </c>
      <c r="S193" s="77"/>
      <c r="T193" s="34" t="str">
        <f>IF('PL1(Full)'!$N193&gt;=20,"x",IF(AND('PL1(Full)'!$N193&gt;=15,'PL1(Full)'!$P193&gt;60),"x",""))</f>
        <v/>
      </c>
      <c r="U193" s="34" t="str">
        <f>IF(AND('PL1(Full)'!$H193="Thôn",'PL1(Full)'!$I193&lt;75),"x",IF(AND('PL1(Full)'!$H193="Tổ",'PL1(Full)'!$I193&lt;100),"x","-"))</f>
        <v>-</v>
      </c>
      <c r="V193" s="34" t="str">
        <f>IF(AND('PL1(Full)'!$H193="Thôn",'PL1(Full)'!$I193&lt;140),"x",IF(AND('PL1(Full)'!$H193="Tổ",'PL1(Full)'!$I193&lt;210),"x","-"))</f>
        <v>x</v>
      </c>
      <c r="W193" s="40" t="str">
        <f t="shared" si="34"/>
        <v>Loại 2</v>
      </c>
      <c r="X193" s="32"/>
    </row>
    <row r="194" spans="1:24" ht="15.75" hidden="1" customHeight="1">
      <c r="A194" s="30">
        <f>_xlfn.AGGREGATE(4,7,A$6:A193)+1</f>
        <v>127</v>
      </c>
      <c r="B194" s="54" t="str">
        <f t="shared" ref="B194:C194" si="37">B193</f>
        <v>H. Bạch Thông</v>
      </c>
      <c r="C194" s="66" t="str">
        <f t="shared" si="37"/>
        <v>TT. Phủ Thông</v>
      </c>
      <c r="D194" s="32"/>
      <c r="E194" s="32" t="s">
        <v>36</v>
      </c>
      <c r="F194" s="66" t="s">
        <v>271</v>
      </c>
      <c r="G194" s="32"/>
      <c r="H194" s="32" t="str">
        <f>IF(LEFT('PL1(Full)'!$F194,4)="Thôn","Thôn","Tổ")</f>
        <v>Tổ</v>
      </c>
      <c r="I194" s="35">
        <v>187</v>
      </c>
      <c r="J194" s="35">
        <v>568</v>
      </c>
      <c r="K194" s="35">
        <v>98</v>
      </c>
      <c r="L194" s="37">
        <f t="shared" si="0"/>
        <v>52.406417112299465</v>
      </c>
      <c r="M194" s="35">
        <v>7</v>
      </c>
      <c r="N194" s="38">
        <f t="shared" si="1"/>
        <v>3.7433155080213902</v>
      </c>
      <c r="O194" s="35">
        <v>4</v>
      </c>
      <c r="P194" s="38">
        <f t="shared" si="2"/>
        <v>57.142857142857146</v>
      </c>
      <c r="Q194" s="76" t="s">
        <v>56</v>
      </c>
      <c r="R194" s="76" t="str">
        <f t="shared" si="3"/>
        <v>X</v>
      </c>
      <c r="S194" s="77"/>
      <c r="T194" s="34" t="str">
        <f>IF('PL1(Full)'!$N194&gt;=20,"x",IF(AND('PL1(Full)'!$N194&gt;=15,'PL1(Full)'!$P194&gt;60),"x",""))</f>
        <v/>
      </c>
      <c r="U194" s="34" t="str">
        <f>IF(AND('PL1(Full)'!$H194="Thôn",'PL1(Full)'!$I194&lt;75),"x",IF(AND('PL1(Full)'!$H194="Tổ",'PL1(Full)'!$I194&lt;100),"x","-"))</f>
        <v>-</v>
      </c>
      <c r="V194" s="34" t="str">
        <f>IF(AND('PL1(Full)'!$H194="Thôn",'PL1(Full)'!$I194&lt;140),"x",IF(AND('PL1(Full)'!$H194="Tổ",'PL1(Full)'!$I194&lt;210),"x","-"))</f>
        <v>x</v>
      </c>
      <c r="W194" s="40" t="str">
        <f t="shared" si="34"/>
        <v>Loại 2</v>
      </c>
      <c r="X194" s="32"/>
    </row>
    <row r="195" spans="1:24" ht="15.75" hidden="1" customHeight="1">
      <c r="A195" s="30">
        <f>_xlfn.AGGREGATE(4,7,A$6:A194)+1</f>
        <v>127</v>
      </c>
      <c r="B195" s="54" t="str">
        <f t="shared" ref="B195:C195" si="38">B194</f>
        <v>H. Bạch Thông</v>
      </c>
      <c r="C195" s="31" t="str">
        <f t="shared" si="38"/>
        <v>TT. Phủ Thông</v>
      </c>
      <c r="D195" s="34"/>
      <c r="E195" s="34" t="s">
        <v>36</v>
      </c>
      <c r="F195" s="31" t="s">
        <v>272</v>
      </c>
      <c r="G195" s="32" t="s">
        <v>137</v>
      </c>
      <c r="H195" s="34" t="str">
        <f>IF(LEFT('PL1(Full)'!$F195,4)="Thôn","Thôn","Tổ")</f>
        <v>Tổ</v>
      </c>
      <c r="I195" s="36">
        <v>112</v>
      </c>
      <c r="J195" s="36">
        <v>515</v>
      </c>
      <c r="K195" s="36">
        <v>112</v>
      </c>
      <c r="L195" s="37">
        <f t="shared" si="0"/>
        <v>100</v>
      </c>
      <c r="M195" s="36">
        <v>5</v>
      </c>
      <c r="N195" s="38">
        <f t="shared" si="1"/>
        <v>4.4642857142857144</v>
      </c>
      <c r="O195" s="36">
        <v>5</v>
      </c>
      <c r="P195" s="38">
        <f t="shared" si="2"/>
        <v>100</v>
      </c>
      <c r="Q195" s="76" t="s">
        <v>82</v>
      </c>
      <c r="R195" s="76" t="str">
        <f t="shared" si="3"/>
        <v>X</v>
      </c>
      <c r="S195" s="77"/>
      <c r="T195" s="34" t="str">
        <f>IF('PL1(Full)'!$N195&gt;=20,"x",IF(AND('PL1(Full)'!$N195&gt;=15,'PL1(Full)'!$P195&gt;60),"x",""))</f>
        <v/>
      </c>
      <c r="U195" s="34" t="str">
        <f>IF(AND('PL1(Full)'!$H195="Thôn",'PL1(Full)'!$I195&lt;75),"x",IF(AND('PL1(Full)'!$H195="Tổ",'PL1(Full)'!$I195&lt;100),"x","-"))</f>
        <v>-</v>
      </c>
      <c r="V195" s="34" t="str">
        <f>IF(AND('PL1(Full)'!$H195="Thôn",'PL1(Full)'!$I195&lt;140),"x",IF(AND('PL1(Full)'!$H195="Tổ",'PL1(Full)'!$I195&lt;210),"x","-"))</f>
        <v>x</v>
      </c>
      <c r="W195" s="40" t="str">
        <f t="shared" si="34"/>
        <v>Loại 3</v>
      </c>
      <c r="X195" s="34"/>
    </row>
    <row r="196" spans="1:24" ht="15.75" hidden="1" customHeight="1">
      <c r="A196" s="41">
        <f>_xlfn.AGGREGATE(4,7,A$6:A195)+1</f>
        <v>127</v>
      </c>
      <c r="B196" s="55" t="str">
        <f t="shared" ref="B196:C196" si="39">B195</f>
        <v>H. Bạch Thông</v>
      </c>
      <c r="C196" s="42" t="str">
        <f t="shared" si="39"/>
        <v>TT. Phủ Thông</v>
      </c>
      <c r="D196" s="50"/>
      <c r="E196" s="50" t="s">
        <v>36</v>
      </c>
      <c r="F196" s="42" t="s">
        <v>273</v>
      </c>
      <c r="G196" s="50" t="s">
        <v>137</v>
      </c>
      <c r="H196" s="50" t="str">
        <f>IF(LEFT('PL1(Full)'!$F196,4)="Thôn","Thôn","Tổ")</f>
        <v>Tổ</v>
      </c>
      <c r="I196" s="46">
        <v>106</v>
      </c>
      <c r="J196" s="46">
        <v>406</v>
      </c>
      <c r="K196" s="46">
        <v>94</v>
      </c>
      <c r="L196" s="47">
        <f t="shared" si="0"/>
        <v>88.679245283018872</v>
      </c>
      <c r="M196" s="46">
        <v>7</v>
      </c>
      <c r="N196" s="48">
        <f t="shared" si="1"/>
        <v>6.6037735849056602</v>
      </c>
      <c r="O196" s="46">
        <v>7</v>
      </c>
      <c r="P196" s="48">
        <f t="shared" si="2"/>
        <v>100</v>
      </c>
      <c r="Q196" s="78" t="s">
        <v>82</v>
      </c>
      <c r="R196" s="78" t="str">
        <f t="shared" si="3"/>
        <v>X</v>
      </c>
      <c r="S196" s="79"/>
      <c r="T196" s="50" t="str">
        <f>IF('PL1(Full)'!$N196&gt;=20,"x",IF(AND('PL1(Full)'!$N196&gt;=15,'PL1(Full)'!$P196&gt;60),"x",""))</f>
        <v/>
      </c>
      <c r="U196" s="50" t="str">
        <f>IF(AND('PL1(Full)'!$H196="Thôn",'PL1(Full)'!$I196&lt;75),"x",IF(AND('PL1(Full)'!$H196="Tổ",'PL1(Full)'!$I196&lt;100),"x","-"))</f>
        <v>-</v>
      </c>
      <c r="V196" s="34" t="str">
        <f>IF(AND('PL1(Full)'!$H196="Thôn",'PL1(Full)'!$I196&lt;140),"x",IF(AND('PL1(Full)'!$H196="Tổ",'PL1(Full)'!$I196&lt;210),"x","-"))</f>
        <v>x</v>
      </c>
      <c r="W196" s="51" t="str">
        <f t="shared" si="34"/>
        <v>Loại 3</v>
      </c>
      <c r="X196" s="50"/>
    </row>
    <row r="197" spans="1:24" ht="15.75" customHeight="1">
      <c r="A197" s="52">
        <f>_xlfn.AGGREGATE(4,7,A$6:A196)+1</f>
        <v>127</v>
      </c>
      <c r="B197" s="53" t="str">
        <f t="shared" ref="B197:B324" si="40">B196</f>
        <v>H. Bạch Thông</v>
      </c>
      <c r="C197" s="14" t="s">
        <v>274</v>
      </c>
      <c r="D197" s="15" t="s">
        <v>36</v>
      </c>
      <c r="E197" s="16" t="s">
        <v>36</v>
      </c>
      <c r="F197" s="65" t="s">
        <v>275</v>
      </c>
      <c r="G197" s="18" t="s">
        <v>40</v>
      </c>
      <c r="H197" s="18" t="str">
        <f>IF(LEFT('PL1(Full)'!$F197,4)="Thôn","Thôn","Tổ")</f>
        <v>Thôn</v>
      </c>
      <c r="I197" s="19">
        <v>65</v>
      </c>
      <c r="J197" s="19">
        <v>248</v>
      </c>
      <c r="K197" s="19">
        <v>44</v>
      </c>
      <c r="L197" s="21">
        <f t="shared" si="0"/>
        <v>67.692307692307693</v>
      </c>
      <c r="M197" s="19">
        <v>5</v>
      </c>
      <c r="N197" s="22">
        <f t="shared" si="1"/>
        <v>7.6923076923076925</v>
      </c>
      <c r="O197" s="19">
        <v>4</v>
      </c>
      <c r="P197" s="22">
        <f t="shared" si="2"/>
        <v>80</v>
      </c>
      <c r="Q197" s="72" t="s">
        <v>82</v>
      </c>
      <c r="R197" s="72" t="str">
        <f t="shared" si="3"/>
        <v>X</v>
      </c>
      <c r="S197" s="73"/>
      <c r="T197" s="26" t="str">
        <f>IF('PL1(Full)'!$N197&gt;=20,"x",IF(AND('PL1(Full)'!$N197&gt;=15,'PL1(Full)'!$P197&gt;60),"x",""))</f>
        <v/>
      </c>
      <c r="U197" s="27" t="str">
        <f>IF(AND('PL1(Full)'!$H197="Thôn",'PL1(Full)'!$I197&lt;75),"x",IF(AND('PL1(Full)'!$H197="Tổ",'PL1(Full)'!$I197&lt;100),"x","-"))</f>
        <v>x</v>
      </c>
      <c r="V197" s="28" t="str">
        <f>IF(AND('PL1(Full)'!$H197="Thôn",'PL1(Full)'!$I197&lt;140),"x",IF(AND('PL1(Full)'!$H197="Tổ",'PL1(Full)'!$I197&lt;210),"x","-"))</f>
        <v>x</v>
      </c>
      <c r="W197" s="29" t="str">
        <f t="shared" ref="W197:W324" si="41">IF(I197&gt;=150,"Loại 1",IF(I197&gt;=100,"Loại 2","Loại 3"))</f>
        <v>Loại 3</v>
      </c>
      <c r="X197" s="18"/>
    </row>
    <row r="198" spans="1:24" ht="15.75" customHeight="1">
      <c r="A198" s="30">
        <f>_xlfn.AGGREGATE(4,7,A$6:A197)+1</f>
        <v>128</v>
      </c>
      <c r="B198" s="54" t="str">
        <f t="shared" si="40"/>
        <v>H. Bạch Thông</v>
      </c>
      <c r="C198" s="66" t="str">
        <f t="shared" ref="C198:C205" si="42">C197</f>
        <v>X. Cẩm Giàng</v>
      </c>
      <c r="D198" s="32"/>
      <c r="E198" s="32" t="s">
        <v>36</v>
      </c>
      <c r="F198" s="66" t="s">
        <v>276</v>
      </c>
      <c r="G198" s="32"/>
      <c r="H198" s="32" t="str">
        <f>IF(LEFT('PL1(Full)'!$F198,4)="Thôn","Thôn","Tổ")</f>
        <v>Thôn</v>
      </c>
      <c r="I198" s="35">
        <v>52</v>
      </c>
      <c r="J198" s="35">
        <v>210</v>
      </c>
      <c r="K198" s="35">
        <v>35</v>
      </c>
      <c r="L198" s="37">
        <f t="shared" si="0"/>
        <v>67.307692307692307</v>
      </c>
      <c r="M198" s="35">
        <v>3</v>
      </c>
      <c r="N198" s="38">
        <f t="shared" si="1"/>
        <v>5.7692307692307692</v>
      </c>
      <c r="O198" s="35">
        <v>3</v>
      </c>
      <c r="P198" s="38">
        <f t="shared" si="2"/>
        <v>100</v>
      </c>
      <c r="Q198" s="76" t="s">
        <v>56</v>
      </c>
      <c r="R198" s="76" t="str">
        <f t="shared" si="3"/>
        <v>X</v>
      </c>
      <c r="S198" s="77"/>
      <c r="T198" s="34" t="str">
        <f>IF('PL1(Full)'!$N198&gt;=20,"x",IF(AND('PL1(Full)'!$N198&gt;=15,'PL1(Full)'!$P198&gt;60),"x",""))</f>
        <v/>
      </c>
      <c r="U198" s="34" t="str">
        <f>IF(AND('PL1(Full)'!$H198="Thôn",'PL1(Full)'!$I198&lt;75),"x",IF(AND('PL1(Full)'!$H198="Tổ",'PL1(Full)'!$I198&lt;100),"x","-"))</f>
        <v>x</v>
      </c>
      <c r="V198" s="34" t="str">
        <f>IF(AND('PL1(Full)'!$H198="Thôn",'PL1(Full)'!$I198&lt;140),"x",IF(AND('PL1(Full)'!$H198="Tổ",'PL1(Full)'!$I198&lt;210),"x","-"))</f>
        <v>x</v>
      </c>
      <c r="W198" s="40" t="str">
        <f t="shared" si="41"/>
        <v>Loại 3</v>
      </c>
      <c r="X198" s="32"/>
    </row>
    <row r="199" spans="1:24" ht="15.75" hidden="1" customHeight="1">
      <c r="A199" s="30">
        <f>_xlfn.AGGREGATE(4,7,A$6:A198)+1</f>
        <v>129</v>
      </c>
      <c r="B199" s="54" t="str">
        <f t="shared" si="40"/>
        <v>H. Bạch Thông</v>
      </c>
      <c r="C199" s="66" t="str">
        <f t="shared" si="42"/>
        <v>X. Cẩm Giàng</v>
      </c>
      <c r="D199" s="32"/>
      <c r="E199" s="32" t="s">
        <v>36</v>
      </c>
      <c r="F199" s="66" t="s">
        <v>277</v>
      </c>
      <c r="G199" s="32"/>
      <c r="H199" s="32" t="str">
        <f>IF(LEFT('PL1(Full)'!$F199,4)="Thôn","Thôn","Tổ")</f>
        <v>Thôn</v>
      </c>
      <c r="I199" s="35">
        <v>93</v>
      </c>
      <c r="J199" s="35">
        <v>375</v>
      </c>
      <c r="K199" s="35">
        <v>68</v>
      </c>
      <c r="L199" s="37">
        <f t="shared" si="0"/>
        <v>73.118279569892479</v>
      </c>
      <c r="M199" s="35">
        <v>2</v>
      </c>
      <c r="N199" s="38">
        <f t="shared" si="1"/>
        <v>2.150537634408602</v>
      </c>
      <c r="O199" s="35">
        <v>1</v>
      </c>
      <c r="P199" s="38">
        <f t="shared" si="2"/>
        <v>50</v>
      </c>
      <c r="Q199" s="76" t="s">
        <v>56</v>
      </c>
      <c r="R199" s="76" t="str">
        <f t="shared" si="3"/>
        <v>X</v>
      </c>
      <c r="S199" s="77"/>
      <c r="T199" s="34" t="str">
        <f>IF('PL1(Full)'!$N199&gt;=20,"x",IF(AND('PL1(Full)'!$N199&gt;=15,'PL1(Full)'!$P199&gt;60),"x",""))</f>
        <v/>
      </c>
      <c r="U199" s="34" t="str">
        <f>IF(AND('PL1(Full)'!$H199="Thôn",'PL1(Full)'!$I199&lt;75),"x",IF(AND('PL1(Full)'!$H199="Tổ",'PL1(Full)'!$I199&lt;100),"x","-"))</f>
        <v>-</v>
      </c>
      <c r="V199" s="34" t="str">
        <f>IF(AND('PL1(Full)'!$H199="Thôn",'PL1(Full)'!$I199&lt;140),"x",IF(AND('PL1(Full)'!$H199="Tổ",'PL1(Full)'!$I199&lt;210),"x","-"))</f>
        <v>x</v>
      </c>
      <c r="W199" s="40" t="str">
        <f t="shared" si="41"/>
        <v>Loại 3</v>
      </c>
      <c r="X199" s="32"/>
    </row>
    <row r="200" spans="1:24" ht="15.75" customHeight="1">
      <c r="A200" s="30">
        <f>_xlfn.AGGREGATE(4,7,A$6:A199)+1</f>
        <v>129</v>
      </c>
      <c r="B200" s="54" t="str">
        <f t="shared" si="40"/>
        <v>H. Bạch Thông</v>
      </c>
      <c r="C200" s="66" t="str">
        <f t="shared" si="42"/>
        <v>X. Cẩm Giàng</v>
      </c>
      <c r="D200" s="32"/>
      <c r="E200" s="32" t="s">
        <v>36</v>
      </c>
      <c r="F200" s="66" t="s">
        <v>278</v>
      </c>
      <c r="G200" s="32"/>
      <c r="H200" s="32" t="str">
        <f>IF(LEFT('PL1(Full)'!$F200,4)="Thôn","Thôn","Tổ")</f>
        <v>Thôn</v>
      </c>
      <c r="I200" s="35">
        <v>60</v>
      </c>
      <c r="J200" s="35">
        <v>236</v>
      </c>
      <c r="K200" s="35">
        <v>56</v>
      </c>
      <c r="L200" s="37">
        <f t="shared" si="0"/>
        <v>93.333333333333329</v>
      </c>
      <c r="M200" s="35">
        <v>4</v>
      </c>
      <c r="N200" s="38">
        <f t="shared" si="1"/>
        <v>6.666666666666667</v>
      </c>
      <c r="O200" s="35">
        <v>4</v>
      </c>
      <c r="P200" s="38">
        <f t="shared" si="2"/>
        <v>100</v>
      </c>
      <c r="Q200" s="76" t="s">
        <v>82</v>
      </c>
      <c r="R200" s="76" t="str">
        <f t="shared" si="3"/>
        <v>X</v>
      </c>
      <c r="S200" s="77"/>
      <c r="T200" s="34" t="str">
        <f>IF('PL1(Full)'!$N200&gt;=20,"x",IF(AND('PL1(Full)'!$N200&gt;=15,'PL1(Full)'!$P200&gt;60),"x",""))</f>
        <v/>
      </c>
      <c r="U200" s="34" t="str">
        <f>IF(AND('PL1(Full)'!$H200="Thôn",'PL1(Full)'!$I200&lt;75),"x",IF(AND('PL1(Full)'!$H200="Tổ",'PL1(Full)'!$I200&lt;100),"x","-"))</f>
        <v>x</v>
      </c>
      <c r="V200" s="34" t="str">
        <f>IF(AND('PL1(Full)'!$H200="Thôn",'PL1(Full)'!$I200&lt;140),"x",IF(AND('PL1(Full)'!$H200="Tổ",'PL1(Full)'!$I200&lt;210),"x","-"))</f>
        <v>x</v>
      </c>
      <c r="W200" s="40" t="str">
        <f t="shared" si="41"/>
        <v>Loại 3</v>
      </c>
      <c r="X200" s="32"/>
    </row>
    <row r="201" spans="1:24" ht="15.75" customHeight="1">
      <c r="A201" s="30">
        <f>_xlfn.AGGREGATE(4,7,A$6:A200)+1</f>
        <v>130</v>
      </c>
      <c r="B201" s="54" t="str">
        <f t="shared" si="40"/>
        <v>H. Bạch Thông</v>
      </c>
      <c r="C201" s="66" t="str">
        <f t="shared" si="42"/>
        <v>X. Cẩm Giàng</v>
      </c>
      <c r="D201" s="32"/>
      <c r="E201" s="32" t="s">
        <v>36</v>
      </c>
      <c r="F201" s="66" t="s">
        <v>279</v>
      </c>
      <c r="G201" s="32"/>
      <c r="H201" s="32" t="str">
        <f>IF(LEFT('PL1(Full)'!$F201,4)="Thôn","Thôn","Tổ")</f>
        <v>Thôn</v>
      </c>
      <c r="I201" s="35">
        <v>57</v>
      </c>
      <c r="J201" s="35">
        <v>221</v>
      </c>
      <c r="K201" s="35">
        <v>56</v>
      </c>
      <c r="L201" s="37">
        <f t="shared" si="0"/>
        <v>98.245614035087726</v>
      </c>
      <c r="M201" s="35">
        <v>12</v>
      </c>
      <c r="N201" s="38">
        <f t="shared" si="1"/>
        <v>21.05263157894737</v>
      </c>
      <c r="O201" s="35">
        <v>12</v>
      </c>
      <c r="P201" s="38">
        <f t="shared" si="2"/>
        <v>100</v>
      </c>
      <c r="Q201" s="76" t="s">
        <v>82</v>
      </c>
      <c r="R201" s="76" t="str">
        <f t="shared" si="3"/>
        <v>X</v>
      </c>
      <c r="S201" s="77"/>
      <c r="T201" s="34" t="str">
        <f>IF('PL1(Full)'!$N201&gt;=20,"x",IF(AND('PL1(Full)'!$N201&gt;=15,'PL1(Full)'!$P201&gt;60),"x",""))</f>
        <v>x</v>
      </c>
      <c r="U201" s="34" t="str">
        <f>IF(AND('PL1(Full)'!$H201="Thôn",'PL1(Full)'!$I201&lt;75),"x",IF(AND('PL1(Full)'!$H201="Tổ",'PL1(Full)'!$I201&lt;100),"x","-"))</f>
        <v>x</v>
      </c>
      <c r="V201" s="34" t="str">
        <f>IF(AND('PL1(Full)'!$H201="Thôn",'PL1(Full)'!$I201&lt;140),"x",IF(AND('PL1(Full)'!$H201="Tổ",'PL1(Full)'!$I201&lt;210),"x","-"))</f>
        <v>x</v>
      </c>
      <c r="W201" s="40" t="str">
        <f t="shared" si="41"/>
        <v>Loại 3</v>
      </c>
      <c r="X201" s="32"/>
    </row>
    <row r="202" spans="1:24" ht="15.75" customHeight="1">
      <c r="A202" s="30">
        <f>_xlfn.AGGREGATE(4,7,A$6:A201)+1</f>
        <v>131</v>
      </c>
      <c r="B202" s="54" t="str">
        <f t="shared" si="40"/>
        <v>H. Bạch Thông</v>
      </c>
      <c r="C202" s="66" t="str">
        <f t="shared" si="42"/>
        <v>X. Cẩm Giàng</v>
      </c>
      <c r="D202" s="32"/>
      <c r="E202" s="32" t="s">
        <v>36</v>
      </c>
      <c r="F202" s="66" t="s">
        <v>280</v>
      </c>
      <c r="G202" s="32"/>
      <c r="H202" s="32" t="str">
        <f>IF(LEFT('PL1(Full)'!$F202,4)="Thôn","Thôn","Tổ")</f>
        <v>Thôn</v>
      </c>
      <c r="I202" s="35">
        <v>62</v>
      </c>
      <c r="J202" s="35">
        <v>262</v>
      </c>
      <c r="K202" s="35">
        <v>46</v>
      </c>
      <c r="L202" s="37">
        <f t="shared" si="0"/>
        <v>74.193548387096769</v>
      </c>
      <c r="M202" s="35">
        <v>3</v>
      </c>
      <c r="N202" s="38">
        <f t="shared" si="1"/>
        <v>4.838709677419355</v>
      </c>
      <c r="O202" s="35">
        <v>2</v>
      </c>
      <c r="P202" s="38">
        <f t="shared" si="2"/>
        <v>66.666666666666671</v>
      </c>
      <c r="Q202" s="76" t="s">
        <v>82</v>
      </c>
      <c r="R202" s="76" t="str">
        <f t="shared" si="3"/>
        <v>X</v>
      </c>
      <c r="S202" s="77"/>
      <c r="T202" s="34" t="str">
        <f>IF('PL1(Full)'!$N202&gt;=20,"x",IF(AND('PL1(Full)'!$N202&gt;=15,'PL1(Full)'!$P202&gt;60),"x",""))</f>
        <v/>
      </c>
      <c r="U202" s="34" t="str">
        <f>IF(AND('PL1(Full)'!$H202="Thôn",'PL1(Full)'!$I202&lt;75),"x",IF(AND('PL1(Full)'!$H202="Tổ",'PL1(Full)'!$I202&lt;100),"x","-"))</f>
        <v>x</v>
      </c>
      <c r="V202" s="34" t="str">
        <f>IF(AND('PL1(Full)'!$H202="Thôn",'PL1(Full)'!$I202&lt;140),"x",IF(AND('PL1(Full)'!$H202="Tổ",'PL1(Full)'!$I202&lt;210),"x","-"))</f>
        <v>x</v>
      </c>
      <c r="W202" s="40" t="str">
        <f t="shared" si="41"/>
        <v>Loại 3</v>
      </c>
      <c r="X202" s="32"/>
    </row>
    <row r="203" spans="1:24" ht="15.75" customHeight="1">
      <c r="A203" s="30">
        <f>_xlfn.AGGREGATE(4,7,A$6:A202)+1</f>
        <v>132</v>
      </c>
      <c r="B203" s="54" t="str">
        <f t="shared" si="40"/>
        <v>H. Bạch Thông</v>
      </c>
      <c r="C203" s="66" t="str">
        <f t="shared" si="42"/>
        <v>X. Cẩm Giàng</v>
      </c>
      <c r="D203" s="32"/>
      <c r="E203" s="32" t="s">
        <v>36</v>
      </c>
      <c r="F203" s="66" t="s">
        <v>281</v>
      </c>
      <c r="G203" s="32"/>
      <c r="H203" s="32" t="str">
        <f>IF(LEFT('PL1(Full)'!$F203,4)="Thôn","Thôn","Tổ")</f>
        <v>Thôn</v>
      </c>
      <c r="I203" s="35">
        <v>59</v>
      </c>
      <c r="J203" s="35">
        <v>210</v>
      </c>
      <c r="K203" s="35">
        <v>54</v>
      </c>
      <c r="L203" s="37">
        <f t="shared" si="0"/>
        <v>91.525423728813564</v>
      </c>
      <c r="M203" s="35">
        <v>9</v>
      </c>
      <c r="N203" s="38">
        <f t="shared" si="1"/>
        <v>15.254237288135593</v>
      </c>
      <c r="O203" s="35">
        <v>7</v>
      </c>
      <c r="P203" s="38">
        <f t="shared" si="2"/>
        <v>77.777777777777771</v>
      </c>
      <c r="Q203" s="76" t="s">
        <v>82</v>
      </c>
      <c r="R203" s="76" t="str">
        <f t="shared" si="3"/>
        <v>X</v>
      </c>
      <c r="S203" s="77"/>
      <c r="T203" s="34" t="str">
        <f>IF('PL1(Full)'!$N203&gt;=20,"x",IF(AND('PL1(Full)'!$N203&gt;=15,'PL1(Full)'!$P203&gt;60),"x",""))</f>
        <v>x</v>
      </c>
      <c r="U203" s="34" t="str">
        <f>IF(AND('PL1(Full)'!$H203="Thôn",'PL1(Full)'!$I203&lt;75),"x",IF(AND('PL1(Full)'!$H203="Tổ",'PL1(Full)'!$I203&lt;100),"x","-"))</f>
        <v>x</v>
      </c>
      <c r="V203" s="34" t="str">
        <f>IF(AND('PL1(Full)'!$H203="Thôn",'PL1(Full)'!$I203&lt;140),"x",IF(AND('PL1(Full)'!$H203="Tổ",'PL1(Full)'!$I203&lt;210),"x","-"))</f>
        <v>x</v>
      </c>
      <c r="W203" s="40" t="str">
        <f t="shared" si="41"/>
        <v>Loại 3</v>
      </c>
      <c r="X203" s="32"/>
    </row>
    <row r="204" spans="1:24" ht="15.75" hidden="1" customHeight="1">
      <c r="A204" s="30">
        <f>_xlfn.AGGREGATE(4,7,A$6:A203)+1</f>
        <v>133</v>
      </c>
      <c r="B204" s="54" t="str">
        <f t="shared" si="40"/>
        <v>H. Bạch Thông</v>
      </c>
      <c r="C204" s="66" t="str">
        <f t="shared" si="42"/>
        <v>X. Cẩm Giàng</v>
      </c>
      <c r="D204" s="32"/>
      <c r="E204" s="32" t="s">
        <v>36</v>
      </c>
      <c r="F204" s="66" t="s">
        <v>282</v>
      </c>
      <c r="G204" s="32"/>
      <c r="H204" s="32" t="str">
        <f>IF(LEFT('PL1(Full)'!$F204,4)="Thôn","Thôn","Tổ")</f>
        <v>Thôn</v>
      </c>
      <c r="I204" s="35">
        <v>117</v>
      </c>
      <c r="J204" s="35">
        <v>280</v>
      </c>
      <c r="K204" s="35">
        <v>112</v>
      </c>
      <c r="L204" s="37">
        <f t="shared" si="0"/>
        <v>95.726495726495727</v>
      </c>
      <c r="M204" s="35">
        <v>12</v>
      </c>
      <c r="N204" s="38">
        <f t="shared" si="1"/>
        <v>10.256410256410257</v>
      </c>
      <c r="O204" s="35">
        <v>10</v>
      </c>
      <c r="P204" s="38">
        <f t="shared" si="2"/>
        <v>83.333333333333329</v>
      </c>
      <c r="Q204" s="76" t="s">
        <v>56</v>
      </c>
      <c r="R204" s="76" t="str">
        <f t="shared" si="3"/>
        <v>X</v>
      </c>
      <c r="S204" s="77"/>
      <c r="T204" s="34" t="str">
        <f>IF('PL1(Full)'!$N204&gt;=20,"x",IF(AND('PL1(Full)'!$N204&gt;=15,'PL1(Full)'!$P204&gt;60),"x",""))</f>
        <v/>
      </c>
      <c r="U204" s="34" t="str">
        <f>IF(AND('PL1(Full)'!$H204="Thôn",'PL1(Full)'!$I204&lt;75),"x",IF(AND('PL1(Full)'!$H204="Tổ",'PL1(Full)'!$I204&lt;100),"x","-"))</f>
        <v>-</v>
      </c>
      <c r="V204" s="34" t="str">
        <f>IF(AND('PL1(Full)'!$H204="Thôn",'PL1(Full)'!$I204&lt;140),"x",IF(AND('PL1(Full)'!$H204="Tổ",'PL1(Full)'!$I204&lt;210),"x","-"))</f>
        <v>x</v>
      </c>
      <c r="W204" s="40" t="str">
        <f t="shared" si="41"/>
        <v>Loại 2</v>
      </c>
      <c r="X204" s="32"/>
    </row>
    <row r="205" spans="1:24" ht="15.75" customHeight="1">
      <c r="A205" s="41">
        <f>_xlfn.AGGREGATE(4,7,A$6:A204)+1</f>
        <v>133</v>
      </c>
      <c r="B205" s="55" t="str">
        <f t="shared" si="40"/>
        <v>H. Bạch Thông</v>
      </c>
      <c r="C205" s="67" t="str">
        <f t="shared" si="42"/>
        <v>X. Cẩm Giàng</v>
      </c>
      <c r="D205" s="43"/>
      <c r="E205" s="43" t="s">
        <v>36</v>
      </c>
      <c r="F205" s="67" t="s">
        <v>283</v>
      </c>
      <c r="G205" s="43" t="s">
        <v>40</v>
      </c>
      <c r="H205" s="43" t="str">
        <f>IF(LEFT('PL1(Full)'!$F205,4)="Thôn","Thôn","Tổ")</f>
        <v>Thôn</v>
      </c>
      <c r="I205" s="45">
        <v>60</v>
      </c>
      <c r="J205" s="45">
        <v>220</v>
      </c>
      <c r="K205" s="45">
        <v>58</v>
      </c>
      <c r="L205" s="47">
        <f t="shared" si="0"/>
        <v>96.666666666666671</v>
      </c>
      <c r="M205" s="45">
        <v>2</v>
      </c>
      <c r="N205" s="48">
        <f t="shared" si="1"/>
        <v>3.3333333333333335</v>
      </c>
      <c r="O205" s="45">
        <v>3</v>
      </c>
      <c r="P205" s="48">
        <f t="shared" si="2"/>
        <v>150</v>
      </c>
      <c r="Q205" s="78" t="s">
        <v>82</v>
      </c>
      <c r="R205" s="78" t="str">
        <f t="shared" si="3"/>
        <v>X</v>
      </c>
      <c r="S205" s="79"/>
      <c r="T205" s="50" t="str">
        <f>IF('PL1(Full)'!$N205&gt;=20,"x",IF(AND('PL1(Full)'!$N205&gt;=15,'PL1(Full)'!$P205&gt;60),"x",""))</f>
        <v/>
      </c>
      <c r="U205" s="50" t="str">
        <f>IF(AND('PL1(Full)'!$H205="Thôn",'PL1(Full)'!$I205&lt;75),"x",IF(AND('PL1(Full)'!$H205="Tổ",'PL1(Full)'!$I205&lt;100),"x","-"))</f>
        <v>x</v>
      </c>
      <c r="V205" s="34" t="str">
        <f>IF(AND('PL1(Full)'!$H205="Thôn",'PL1(Full)'!$I205&lt;140),"x",IF(AND('PL1(Full)'!$H205="Tổ",'PL1(Full)'!$I205&lt;210),"x","-"))</f>
        <v>x</v>
      </c>
      <c r="W205" s="51" t="str">
        <f t="shared" si="41"/>
        <v>Loại 3</v>
      </c>
      <c r="X205" s="43"/>
    </row>
    <row r="206" spans="1:24" ht="15.75" customHeight="1">
      <c r="A206" s="52">
        <f>_xlfn.AGGREGATE(4,7,A$6:A205)+1</f>
        <v>134</v>
      </c>
      <c r="B206" s="53" t="str">
        <f t="shared" si="40"/>
        <v>H. Bạch Thông</v>
      </c>
      <c r="C206" s="14" t="s">
        <v>284</v>
      </c>
      <c r="D206" s="15" t="s">
        <v>58</v>
      </c>
      <c r="E206" s="16" t="s">
        <v>58</v>
      </c>
      <c r="F206" s="65" t="s">
        <v>285</v>
      </c>
      <c r="G206" s="18"/>
      <c r="H206" s="18" t="str">
        <f>IF(LEFT('PL1(Full)'!$F206,4)="Thôn","Thôn","Tổ")</f>
        <v>Thôn</v>
      </c>
      <c r="I206" s="19">
        <v>31</v>
      </c>
      <c r="J206" s="19">
        <v>131</v>
      </c>
      <c r="K206" s="19">
        <v>31</v>
      </c>
      <c r="L206" s="21">
        <f t="shared" si="0"/>
        <v>100</v>
      </c>
      <c r="M206" s="19">
        <v>6</v>
      </c>
      <c r="N206" s="22">
        <f t="shared" si="1"/>
        <v>19.35483870967742</v>
      </c>
      <c r="O206" s="19">
        <v>6</v>
      </c>
      <c r="P206" s="22">
        <f t="shared" si="2"/>
        <v>100</v>
      </c>
      <c r="Q206" s="23" t="s">
        <v>56</v>
      </c>
      <c r="R206" s="24" t="str">
        <f t="shared" si="3"/>
        <v>X</v>
      </c>
      <c r="S206" s="25" t="s">
        <v>60</v>
      </c>
      <c r="T206" s="26" t="str">
        <f>IF('PL1(Full)'!$N206&gt;=20,"x",IF(AND('PL1(Full)'!$N206&gt;=15,'PL1(Full)'!$P206&gt;60),"x",""))</f>
        <v>x</v>
      </c>
      <c r="U206" s="27" t="str">
        <f>IF(AND('PL1(Full)'!$H206="Thôn",'PL1(Full)'!$I206&lt;75),"x",IF(AND('PL1(Full)'!$H206="Tổ",'PL1(Full)'!$I206&lt;100),"x","-"))</f>
        <v>x</v>
      </c>
      <c r="V206" s="28" t="str">
        <f>IF(AND('PL1(Full)'!$H206="Thôn",'PL1(Full)'!$I206&lt;140),"x",IF(AND('PL1(Full)'!$H206="Tổ",'PL1(Full)'!$I206&lt;210),"x","-"))</f>
        <v>x</v>
      </c>
      <c r="W206" s="29" t="str">
        <f t="shared" si="41"/>
        <v>Loại 3</v>
      </c>
      <c r="X206" s="18"/>
    </row>
    <row r="207" spans="1:24" ht="15.75" customHeight="1">
      <c r="A207" s="30">
        <f>_xlfn.AGGREGATE(4,7,A$6:A206)+1</f>
        <v>135</v>
      </c>
      <c r="B207" s="54" t="str">
        <f t="shared" si="40"/>
        <v>H. Bạch Thông</v>
      </c>
      <c r="C207" s="66" t="str">
        <f t="shared" ref="C207:C211" si="43">C206</f>
        <v>X. Cao Sơn</v>
      </c>
      <c r="D207" s="32"/>
      <c r="E207" s="32" t="s">
        <v>58</v>
      </c>
      <c r="F207" s="66" t="s">
        <v>286</v>
      </c>
      <c r="G207" s="34" t="s">
        <v>40</v>
      </c>
      <c r="H207" s="32" t="str">
        <f>IF(LEFT('PL1(Full)'!$F207,4)="Thôn","Thôn","Tổ")</f>
        <v>Thôn</v>
      </c>
      <c r="I207" s="35">
        <v>24</v>
      </c>
      <c r="J207" s="35">
        <v>98</v>
      </c>
      <c r="K207" s="35">
        <v>24</v>
      </c>
      <c r="L207" s="37">
        <f t="shared" si="0"/>
        <v>100</v>
      </c>
      <c r="M207" s="35">
        <v>5</v>
      </c>
      <c r="N207" s="38">
        <f t="shared" si="1"/>
        <v>20.833333333333332</v>
      </c>
      <c r="O207" s="35">
        <v>5</v>
      </c>
      <c r="P207" s="38">
        <f t="shared" si="2"/>
        <v>100</v>
      </c>
      <c r="Q207" s="39" t="s">
        <v>63</v>
      </c>
      <c r="R207" s="39" t="str">
        <f t="shared" si="3"/>
        <v>X</v>
      </c>
      <c r="S207" s="34" t="s">
        <v>60</v>
      </c>
      <c r="T207" s="34" t="str">
        <f>IF('PL1(Full)'!$N207&gt;=20,"x",IF(AND('PL1(Full)'!$N207&gt;=15,'PL1(Full)'!$P207&gt;60),"x",""))</f>
        <v>x</v>
      </c>
      <c r="U207" s="34" t="str">
        <f>IF(AND('PL1(Full)'!$H207="Thôn",'PL1(Full)'!$I207&lt;75),"x",IF(AND('PL1(Full)'!$H207="Tổ",'PL1(Full)'!$I207&lt;100),"x","-"))</f>
        <v>x</v>
      </c>
      <c r="V207" s="34" t="str">
        <f>IF(AND('PL1(Full)'!$H207="Thôn",'PL1(Full)'!$I207&lt;140),"x",IF(AND('PL1(Full)'!$H207="Tổ",'PL1(Full)'!$I207&lt;210),"x","-"))</f>
        <v>x</v>
      </c>
      <c r="W207" s="40" t="str">
        <f t="shared" si="41"/>
        <v>Loại 3</v>
      </c>
      <c r="X207" s="32"/>
    </row>
    <row r="208" spans="1:24" ht="15.75" customHeight="1">
      <c r="A208" s="30">
        <f>_xlfn.AGGREGATE(4,7,A$6:A207)+1</f>
        <v>136</v>
      </c>
      <c r="B208" s="54" t="str">
        <f t="shared" si="40"/>
        <v>H. Bạch Thông</v>
      </c>
      <c r="C208" s="66" t="str">
        <f t="shared" si="43"/>
        <v>X. Cao Sơn</v>
      </c>
      <c r="D208" s="32"/>
      <c r="E208" s="32" t="s">
        <v>58</v>
      </c>
      <c r="F208" s="66" t="s">
        <v>287</v>
      </c>
      <c r="G208" s="32"/>
      <c r="H208" s="32" t="str">
        <f>IF(LEFT('PL1(Full)'!$F208,4)="Thôn","Thôn","Tổ")</f>
        <v>Thôn</v>
      </c>
      <c r="I208" s="35">
        <v>53</v>
      </c>
      <c r="J208" s="35">
        <v>199</v>
      </c>
      <c r="K208" s="35">
        <v>53</v>
      </c>
      <c r="L208" s="37">
        <f t="shared" si="0"/>
        <v>100</v>
      </c>
      <c r="M208" s="35">
        <v>15</v>
      </c>
      <c r="N208" s="38">
        <f t="shared" si="1"/>
        <v>28.30188679245283</v>
      </c>
      <c r="O208" s="35">
        <v>15</v>
      </c>
      <c r="P208" s="38">
        <f t="shared" si="2"/>
        <v>100</v>
      </c>
      <c r="Q208" s="39" t="s">
        <v>82</v>
      </c>
      <c r="R208" s="39" t="str">
        <f t="shared" si="3"/>
        <v>X</v>
      </c>
      <c r="S208" s="34" t="s">
        <v>60</v>
      </c>
      <c r="T208" s="34" t="str">
        <f>IF('PL1(Full)'!$N208&gt;=20,"x",IF(AND('PL1(Full)'!$N208&gt;=15,'PL1(Full)'!$P208&gt;60),"x",""))</f>
        <v>x</v>
      </c>
      <c r="U208" s="34" t="str">
        <f>IF(AND('PL1(Full)'!$H208="Thôn",'PL1(Full)'!$I208&lt;75),"x",IF(AND('PL1(Full)'!$H208="Tổ",'PL1(Full)'!$I208&lt;100),"x","-"))</f>
        <v>x</v>
      </c>
      <c r="V208" s="34" t="str">
        <f>IF(AND('PL1(Full)'!$H208="Thôn",'PL1(Full)'!$I208&lt;140),"x",IF(AND('PL1(Full)'!$H208="Tổ",'PL1(Full)'!$I208&lt;210),"x","-"))</f>
        <v>x</v>
      </c>
      <c r="W208" s="40" t="str">
        <f t="shared" si="41"/>
        <v>Loại 3</v>
      </c>
      <c r="X208" s="32"/>
    </row>
    <row r="209" spans="1:24" ht="15.75" customHeight="1">
      <c r="A209" s="30">
        <f>_xlfn.AGGREGATE(4,7,A$6:A208)+1</f>
        <v>137</v>
      </c>
      <c r="B209" s="54" t="str">
        <f t="shared" si="40"/>
        <v>H. Bạch Thông</v>
      </c>
      <c r="C209" s="66" t="str">
        <f t="shared" si="43"/>
        <v>X. Cao Sơn</v>
      </c>
      <c r="D209" s="32"/>
      <c r="E209" s="32" t="s">
        <v>58</v>
      </c>
      <c r="F209" s="66" t="s">
        <v>105</v>
      </c>
      <c r="G209" s="32"/>
      <c r="H209" s="32" t="str">
        <f>IF(LEFT('PL1(Full)'!$F209,4)="Thôn","Thôn","Tổ")</f>
        <v>Thôn</v>
      </c>
      <c r="I209" s="35">
        <v>20</v>
      </c>
      <c r="J209" s="35">
        <v>83</v>
      </c>
      <c r="K209" s="35">
        <v>20</v>
      </c>
      <c r="L209" s="37">
        <f t="shared" si="0"/>
        <v>100</v>
      </c>
      <c r="M209" s="35">
        <v>4</v>
      </c>
      <c r="N209" s="38">
        <f t="shared" si="1"/>
        <v>20</v>
      </c>
      <c r="O209" s="35">
        <v>4</v>
      </c>
      <c r="P209" s="38">
        <f t="shared" si="2"/>
        <v>100</v>
      </c>
      <c r="Q209" s="39" t="s">
        <v>56</v>
      </c>
      <c r="R209" s="39" t="str">
        <f t="shared" si="3"/>
        <v>X</v>
      </c>
      <c r="S209" s="34" t="s">
        <v>60</v>
      </c>
      <c r="T209" s="34" t="str">
        <f>IF('PL1(Full)'!$N209&gt;=20,"x",IF(AND('PL1(Full)'!$N209&gt;=15,'PL1(Full)'!$P209&gt;60),"x",""))</f>
        <v>x</v>
      </c>
      <c r="U209" s="34" t="str">
        <f>IF(AND('PL1(Full)'!$H209="Thôn",'PL1(Full)'!$I209&lt;75),"x",IF(AND('PL1(Full)'!$H209="Tổ",'PL1(Full)'!$I209&lt;100),"x","-"))</f>
        <v>x</v>
      </c>
      <c r="V209" s="34" t="str">
        <f>IF(AND('PL1(Full)'!$H209="Thôn",'PL1(Full)'!$I209&lt;140),"x",IF(AND('PL1(Full)'!$H209="Tổ",'PL1(Full)'!$I209&lt;210),"x","-"))</f>
        <v>x</v>
      </c>
      <c r="W209" s="40" t="str">
        <f t="shared" si="41"/>
        <v>Loại 3</v>
      </c>
      <c r="X209" s="32"/>
    </row>
    <row r="210" spans="1:24" ht="15.75" customHeight="1">
      <c r="A210" s="30">
        <f>_xlfn.AGGREGATE(4,7,A$6:A209)+1</f>
        <v>138</v>
      </c>
      <c r="B210" s="54" t="str">
        <f t="shared" si="40"/>
        <v>H. Bạch Thông</v>
      </c>
      <c r="C210" s="66" t="str">
        <f t="shared" si="43"/>
        <v>X. Cao Sơn</v>
      </c>
      <c r="D210" s="32"/>
      <c r="E210" s="32" t="s">
        <v>58</v>
      </c>
      <c r="F210" s="66" t="s">
        <v>288</v>
      </c>
      <c r="G210" s="32"/>
      <c r="H210" s="32" t="str">
        <f>IF(LEFT('PL1(Full)'!$F210,4)="Thôn","Thôn","Tổ")</f>
        <v>Thôn</v>
      </c>
      <c r="I210" s="35">
        <v>57</v>
      </c>
      <c r="J210" s="35">
        <v>236</v>
      </c>
      <c r="K210" s="35">
        <v>57</v>
      </c>
      <c r="L210" s="37">
        <f t="shared" si="0"/>
        <v>100</v>
      </c>
      <c r="M210" s="35">
        <v>4</v>
      </c>
      <c r="N210" s="38">
        <f t="shared" si="1"/>
        <v>7.0175438596491224</v>
      </c>
      <c r="O210" s="35">
        <v>4</v>
      </c>
      <c r="P210" s="38">
        <f t="shared" si="2"/>
        <v>100</v>
      </c>
      <c r="Q210" s="39" t="s">
        <v>56</v>
      </c>
      <c r="R210" s="39" t="str">
        <f t="shared" si="3"/>
        <v>X</v>
      </c>
      <c r="S210" s="34" t="s">
        <v>60</v>
      </c>
      <c r="T210" s="34" t="str">
        <f>IF('PL1(Full)'!$N210&gt;=20,"x",IF(AND('PL1(Full)'!$N210&gt;=15,'PL1(Full)'!$P210&gt;60),"x",""))</f>
        <v/>
      </c>
      <c r="U210" s="34" t="str">
        <f>IF(AND('PL1(Full)'!$H210="Thôn",'PL1(Full)'!$I210&lt;75),"x",IF(AND('PL1(Full)'!$H210="Tổ",'PL1(Full)'!$I210&lt;100),"x","-"))</f>
        <v>x</v>
      </c>
      <c r="V210" s="34" t="str">
        <f>IF(AND('PL1(Full)'!$H210="Thôn",'PL1(Full)'!$I210&lt;140),"x",IF(AND('PL1(Full)'!$H210="Tổ",'PL1(Full)'!$I210&lt;210),"x","-"))</f>
        <v>x</v>
      </c>
      <c r="W210" s="40" t="str">
        <f t="shared" si="41"/>
        <v>Loại 3</v>
      </c>
      <c r="X210" s="32"/>
    </row>
    <row r="211" spans="1:24" ht="19.5" customHeight="1">
      <c r="A211" s="41">
        <f>_xlfn.AGGREGATE(4,7,A$6:A210)+1</f>
        <v>139</v>
      </c>
      <c r="B211" s="55" t="str">
        <f t="shared" si="40"/>
        <v>H. Bạch Thông</v>
      </c>
      <c r="C211" s="67" t="str">
        <f t="shared" si="43"/>
        <v>X. Cao Sơn</v>
      </c>
      <c r="D211" s="43"/>
      <c r="E211" s="43" t="s">
        <v>58</v>
      </c>
      <c r="F211" s="67" t="s">
        <v>289</v>
      </c>
      <c r="G211" s="43"/>
      <c r="H211" s="43" t="str">
        <f>IF(LEFT('PL1(Full)'!$F211,4)="Thôn","Thôn","Tổ")</f>
        <v>Thôn</v>
      </c>
      <c r="I211" s="45">
        <v>38</v>
      </c>
      <c r="J211" s="45">
        <v>154</v>
      </c>
      <c r="K211" s="45">
        <v>38</v>
      </c>
      <c r="L211" s="47">
        <f t="shared" si="0"/>
        <v>100</v>
      </c>
      <c r="M211" s="45">
        <v>8</v>
      </c>
      <c r="N211" s="48">
        <f t="shared" si="1"/>
        <v>21.05263157894737</v>
      </c>
      <c r="O211" s="45">
        <v>8</v>
      </c>
      <c r="P211" s="48">
        <f t="shared" si="2"/>
        <v>100</v>
      </c>
      <c r="Q211" s="39" t="s">
        <v>82</v>
      </c>
      <c r="R211" s="56" t="str">
        <f t="shared" si="3"/>
        <v>X</v>
      </c>
      <c r="S211" s="50" t="s">
        <v>60</v>
      </c>
      <c r="T211" s="50" t="str">
        <f>IF('PL1(Full)'!$N211&gt;=20,"x",IF(AND('PL1(Full)'!$N211&gt;=15,'PL1(Full)'!$P211&gt;60),"x",""))</f>
        <v>x</v>
      </c>
      <c r="U211" s="50" t="str">
        <f>IF(AND('PL1(Full)'!$H211="Thôn",'PL1(Full)'!$I211&lt;75),"x",IF(AND('PL1(Full)'!$H211="Tổ",'PL1(Full)'!$I211&lt;100),"x","-"))</f>
        <v>x</v>
      </c>
      <c r="V211" s="34" t="str">
        <f>IF(AND('PL1(Full)'!$H211="Thôn",'PL1(Full)'!$I211&lt;140),"x",IF(AND('PL1(Full)'!$H211="Tổ",'PL1(Full)'!$I211&lt;210),"x","-"))</f>
        <v>x</v>
      </c>
      <c r="W211" s="51" t="str">
        <f t="shared" si="41"/>
        <v>Loại 3</v>
      </c>
      <c r="X211" s="43"/>
    </row>
    <row r="212" spans="1:24" ht="15.75" customHeight="1">
      <c r="A212" s="52">
        <f>_xlfn.AGGREGATE(4,7,A$6:A211)+1</f>
        <v>140</v>
      </c>
      <c r="B212" s="53" t="str">
        <f t="shared" si="40"/>
        <v>H. Bạch Thông</v>
      </c>
      <c r="C212" s="14" t="s">
        <v>290</v>
      </c>
      <c r="D212" s="25" t="s">
        <v>58</v>
      </c>
      <c r="E212" s="25" t="s">
        <v>58</v>
      </c>
      <c r="F212" s="14" t="s">
        <v>291</v>
      </c>
      <c r="G212" s="25"/>
      <c r="H212" s="25" t="str">
        <f>IF(LEFT('PL1(Full)'!$F212,4)="Thôn","Thôn","Tổ")</f>
        <v>Thôn</v>
      </c>
      <c r="I212" s="20">
        <v>56</v>
      </c>
      <c r="J212" s="20">
        <v>236</v>
      </c>
      <c r="K212" s="20">
        <v>56</v>
      </c>
      <c r="L212" s="21">
        <f t="shared" si="0"/>
        <v>100</v>
      </c>
      <c r="M212" s="20">
        <v>15</v>
      </c>
      <c r="N212" s="22">
        <f t="shared" si="1"/>
        <v>26.785714285714285</v>
      </c>
      <c r="O212" s="20">
        <v>11</v>
      </c>
      <c r="P212" s="22">
        <f t="shared" si="2"/>
        <v>73.333333333333329</v>
      </c>
      <c r="Q212" s="80" t="s">
        <v>56</v>
      </c>
      <c r="R212" s="80" t="str">
        <f t="shared" si="3"/>
        <v>X</v>
      </c>
      <c r="S212" s="81" t="s">
        <v>60</v>
      </c>
      <c r="T212" s="26" t="str">
        <f>IF('PL1(Full)'!$N212&gt;=20,"x",IF(AND('PL1(Full)'!$N212&gt;=15,'PL1(Full)'!$P212&gt;60),"x",""))</f>
        <v>x</v>
      </c>
      <c r="U212" s="27" t="str">
        <f>IF(AND('PL1(Full)'!$H212="Thôn",'PL1(Full)'!$I212&lt;75),"x",IF(AND('PL1(Full)'!$H212="Tổ",'PL1(Full)'!$I212&lt;100),"x","-"))</f>
        <v>x</v>
      </c>
      <c r="V212" s="28" t="str">
        <f>IF(AND('PL1(Full)'!$H212="Thôn",'PL1(Full)'!$I212&lt;140),"x",IF(AND('PL1(Full)'!$H212="Tổ",'PL1(Full)'!$I212&lt;210),"x","-"))</f>
        <v>x</v>
      </c>
      <c r="W212" s="29" t="str">
        <f t="shared" si="41"/>
        <v>Loại 3</v>
      </c>
      <c r="X212" s="25"/>
    </row>
    <row r="213" spans="1:24" ht="15.75" hidden="1" customHeight="1">
      <c r="A213" s="30">
        <f>_xlfn.AGGREGATE(4,7,A$6:A212)+1</f>
        <v>141</v>
      </c>
      <c r="B213" s="54" t="str">
        <f t="shared" si="40"/>
        <v>H. Bạch Thông</v>
      </c>
      <c r="C213" s="54" t="str">
        <f t="shared" ref="C213:C221" si="44">C212</f>
        <v>X. Đôn Phong</v>
      </c>
      <c r="D213" s="34"/>
      <c r="E213" s="34" t="s">
        <v>58</v>
      </c>
      <c r="F213" s="31" t="s">
        <v>292</v>
      </c>
      <c r="G213" s="34"/>
      <c r="H213" s="34" t="str">
        <f>IF(LEFT('PL1(Full)'!$F213,4)="Thôn","Thôn","Tổ")</f>
        <v>Thôn</v>
      </c>
      <c r="I213" s="36">
        <v>94</v>
      </c>
      <c r="J213" s="36">
        <v>375</v>
      </c>
      <c r="K213" s="36">
        <v>60</v>
      </c>
      <c r="L213" s="37">
        <f t="shared" si="0"/>
        <v>63.829787234042556</v>
      </c>
      <c r="M213" s="36">
        <v>6</v>
      </c>
      <c r="N213" s="38">
        <f t="shared" si="1"/>
        <v>6.3829787234042552</v>
      </c>
      <c r="O213" s="36">
        <v>6</v>
      </c>
      <c r="P213" s="38">
        <f t="shared" si="2"/>
        <v>100</v>
      </c>
      <c r="Q213" s="74" t="s">
        <v>158</v>
      </c>
      <c r="R213" s="76" t="str">
        <f t="shared" si="3"/>
        <v>X</v>
      </c>
      <c r="S213" s="77"/>
      <c r="T213" s="34" t="str">
        <f>IF('PL1(Full)'!$N213&gt;=20,"x",IF(AND('PL1(Full)'!$N213&gt;=15,'PL1(Full)'!$P213&gt;60),"x",""))</f>
        <v/>
      </c>
      <c r="U213" s="34" t="str">
        <f>IF(AND('PL1(Full)'!$H213="Thôn",'PL1(Full)'!$I213&lt;75),"x",IF(AND('PL1(Full)'!$H213="Tổ",'PL1(Full)'!$I213&lt;100),"x","-"))</f>
        <v>-</v>
      </c>
      <c r="V213" s="34" t="str">
        <f>IF(AND('PL1(Full)'!$H213="Thôn",'PL1(Full)'!$I213&lt;140),"x",IF(AND('PL1(Full)'!$H213="Tổ",'PL1(Full)'!$I213&lt;210),"x","-"))</f>
        <v>x</v>
      </c>
      <c r="W213" s="40" t="str">
        <f t="shared" si="41"/>
        <v>Loại 3</v>
      </c>
      <c r="X213" s="34"/>
    </row>
    <row r="214" spans="1:24" ht="15.75" customHeight="1">
      <c r="A214" s="30">
        <f>_xlfn.AGGREGATE(4,7,A$6:A213)+1</f>
        <v>141</v>
      </c>
      <c r="B214" s="54" t="str">
        <f t="shared" si="40"/>
        <v>H. Bạch Thông</v>
      </c>
      <c r="C214" s="54" t="str">
        <f t="shared" si="44"/>
        <v>X. Đôn Phong</v>
      </c>
      <c r="D214" s="34"/>
      <c r="E214" s="34" t="s">
        <v>58</v>
      </c>
      <c r="F214" s="31" t="s">
        <v>293</v>
      </c>
      <c r="G214" s="34"/>
      <c r="H214" s="34" t="str">
        <f>IF(LEFT('PL1(Full)'!$F214,4)="Thôn","Thôn","Tổ")</f>
        <v>Thôn</v>
      </c>
      <c r="I214" s="36">
        <v>36</v>
      </c>
      <c r="J214" s="36">
        <v>136</v>
      </c>
      <c r="K214" s="36">
        <v>34</v>
      </c>
      <c r="L214" s="37">
        <f t="shared" si="0"/>
        <v>94.444444444444443</v>
      </c>
      <c r="M214" s="36">
        <v>1</v>
      </c>
      <c r="N214" s="38">
        <f t="shared" si="1"/>
        <v>2.7777777777777777</v>
      </c>
      <c r="O214" s="36">
        <v>1</v>
      </c>
      <c r="P214" s="38">
        <f t="shared" si="2"/>
        <v>100</v>
      </c>
      <c r="Q214" s="74" t="s">
        <v>63</v>
      </c>
      <c r="R214" s="76" t="str">
        <f t="shared" si="3"/>
        <v>X</v>
      </c>
      <c r="S214" s="77"/>
      <c r="T214" s="34" t="str">
        <f>IF('PL1(Full)'!$N214&gt;=20,"x",IF(AND('PL1(Full)'!$N214&gt;=15,'PL1(Full)'!$P214&gt;60),"x",""))</f>
        <v/>
      </c>
      <c r="U214" s="34" t="str">
        <f>IF(AND('PL1(Full)'!$H214="Thôn",'PL1(Full)'!$I214&lt;75),"x",IF(AND('PL1(Full)'!$H214="Tổ",'PL1(Full)'!$I214&lt;100),"x","-"))</f>
        <v>x</v>
      </c>
      <c r="V214" s="34" t="str">
        <f>IF(AND('PL1(Full)'!$H214="Thôn",'PL1(Full)'!$I214&lt;140),"x",IF(AND('PL1(Full)'!$H214="Tổ",'PL1(Full)'!$I214&lt;210),"x","-"))</f>
        <v>x</v>
      </c>
      <c r="W214" s="40" t="str">
        <f t="shared" si="41"/>
        <v>Loại 3</v>
      </c>
      <c r="X214" s="34"/>
    </row>
    <row r="215" spans="1:24" ht="15.75" customHeight="1">
      <c r="A215" s="30">
        <f>_xlfn.AGGREGATE(4,7,A$6:A214)+1</f>
        <v>142</v>
      </c>
      <c r="B215" s="54" t="str">
        <f t="shared" si="40"/>
        <v>H. Bạch Thông</v>
      </c>
      <c r="C215" s="54" t="str">
        <f t="shared" si="44"/>
        <v>X. Đôn Phong</v>
      </c>
      <c r="D215" s="34"/>
      <c r="E215" s="34" t="s">
        <v>58</v>
      </c>
      <c r="F215" s="31" t="s">
        <v>294</v>
      </c>
      <c r="G215" s="34"/>
      <c r="H215" s="34" t="str">
        <f>IF(LEFT('PL1(Full)'!$F215,4)="Thôn","Thôn","Tổ")</f>
        <v>Thôn</v>
      </c>
      <c r="I215" s="36">
        <v>30</v>
      </c>
      <c r="J215" s="36">
        <v>150</v>
      </c>
      <c r="K215" s="36">
        <v>30</v>
      </c>
      <c r="L215" s="37">
        <f t="shared" si="0"/>
        <v>100</v>
      </c>
      <c r="M215" s="36">
        <v>29</v>
      </c>
      <c r="N215" s="38">
        <f t="shared" si="1"/>
        <v>96.666666666666671</v>
      </c>
      <c r="O215" s="36">
        <v>29</v>
      </c>
      <c r="P215" s="38">
        <f t="shared" si="2"/>
        <v>100</v>
      </c>
      <c r="Q215" s="74" t="s">
        <v>154</v>
      </c>
      <c r="R215" s="76" t="str">
        <f t="shared" si="3"/>
        <v>X</v>
      </c>
      <c r="S215" s="77" t="s">
        <v>60</v>
      </c>
      <c r="T215" s="34" t="str">
        <f>IF('PL1(Full)'!$N215&gt;=20,"x",IF(AND('PL1(Full)'!$N215&gt;=15,'PL1(Full)'!$P215&gt;60),"x",""))</f>
        <v>x</v>
      </c>
      <c r="U215" s="34" t="str">
        <f>IF(AND('PL1(Full)'!$H215="Thôn",'PL1(Full)'!$I215&lt;75),"x",IF(AND('PL1(Full)'!$H215="Tổ",'PL1(Full)'!$I215&lt;100),"x","-"))</f>
        <v>x</v>
      </c>
      <c r="V215" s="34" t="str">
        <f>IF(AND('PL1(Full)'!$H215="Thôn",'PL1(Full)'!$I215&lt;140),"x",IF(AND('PL1(Full)'!$H215="Tổ",'PL1(Full)'!$I215&lt;210),"x","-"))</f>
        <v>x</v>
      </c>
      <c r="W215" s="40" t="str">
        <f t="shared" si="41"/>
        <v>Loại 3</v>
      </c>
      <c r="X215" s="34"/>
    </row>
    <row r="216" spans="1:24" ht="15.75" customHeight="1">
      <c r="A216" s="30">
        <f>_xlfn.AGGREGATE(4,7,A$6:A215)+1</f>
        <v>143</v>
      </c>
      <c r="B216" s="54" t="str">
        <f t="shared" si="40"/>
        <v>H. Bạch Thông</v>
      </c>
      <c r="C216" s="54" t="str">
        <f t="shared" si="44"/>
        <v>X. Đôn Phong</v>
      </c>
      <c r="D216" s="34"/>
      <c r="E216" s="34" t="s">
        <v>58</v>
      </c>
      <c r="F216" s="31" t="s">
        <v>295</v>
      </c>
      <c r="G216" s="34"/>
      <c r="H216" s="34" t="str">
        <f>IF(LEFT('PL1(Full)'!$F216,4)="Thôn","Thôn","Tổ")</f>
        <v>Thôn</v>
      </c>
      <c r="I216" s="36">
        <v>74</v>
      </c>
      <c r="J216" s="36">
        <v>355</v>
      </c>
      <c r="K216" s="36">
        <v>43</v>
      </c>
      <c r="L216" s="37">
        <f t="shared" si="0"/>
        <v>58.108108108108105</v>
      </c>
      <c r="M216" s="36">
        <v>3</v>
      </c>
      <c r="N216" s="38">
        <f t="shared" si="1"/>
        <v>4.0540540540540544</v>
      </c>
      <c r="O216" s="36">
        <v>1</v>
      </c>
      <c r="P216" s="38">
        <f t="shared" si="2"/>
        <v>33.333333333333336</v>
      </c>
      <c r="Q216" s="74" t="s">
        <v>56</v>
      </c>
      <c r="R216" s="76" t="str">
        <f t="shared" si="3"/>
        <v>X</v>
      </c>
      <c r="S216" s="77"/>
      <c r="T216" s="34" t="str">
        <f>IF('PL1(Full)'!$N216&gt;=20,"x",IF(AND('PL1(Full)'!$N216&gt;=15,'PL1(Full)'!$P216&gt;60),"x",""))</f>
        <v/>
      </c>
      <c r="U216" s="34" t="str">
        <f>IF(AND('PL1(Full)'!$H216="Thôn",'PL1(Full)'!$I216&lt;75),"x",IF(AND('PL1(Full)'!$H216="Tổ",'PL1(Full)'!$I216&lt;100),"x","-"))</f>
        <v>x</v>
      </c>
      <c r="V216" s="34" t="str">
        <f>IF(AND('PL1(Full)'!$H216="Thôn",'PL1(Full)'!$I216&lt;140),"x",IF(AND('PL1(Full)'!$H216="Tổ",'PL1(Full)'!$I216&lt;210),"x","-"))</f>
        <v>x</v>
      </c>
      <c r="W216" s="40" t="str">
        <f t="shared" si="41"/>
        <v>Loại 3</v>
      </c>
      <c r="X216" s="34"/>
    </row>
    <row r="217" spans="1:24" ht="15.75" customHeight="1">
      <c r="A217" s="30">
        <f>_xlfn.AGGREGATE(4,7,A$6:A216)+1</f>
        <v>144</v>
      </c>
      <c r="B217" s="54" t="str">
        <f t="shared" si="40"/>
        <v>H. Bạch Thông</v>
      </c>
      <c r="C217" s="54" t="str">
        <f t="shared" si="44"/>
        <v>X. Đôn Phong</v>
      </c>
      <c r="D217" s="34"/>
      <c r="E217" s="34" t="s">
        <v>58</v>
      </c>
      <c r="F217" s="31" t="s">
        <v>296</v>
      </c>
      <c r="G217" s="34"/>
      <c r="H217" s="34" t="str">
        <f>IF(LEFT('PL1(Full)'!$F217,4)="Thôn","Thôn","Tổ")</f>
        <v>Thôn</v>
      </c>
      <c r="I217" s="36">
        <v>66</v>
      </c>
      <c r="J217" s="36">
        <v>305</v>
      </c>
      <c r="K217" s="36">
        <v>65</v>
      </c>
      <c r="L217" s="37">
        <f t="shared" si="0"/>
        <v>98.484848484848484</v>
      </c>
      <c r="M217" s="36">
        <v>21</v>
      </c>
      <c r="N217" s="38">
        <f t="shared" si="1"/>
        <v>31.818181818181817</v>
      </c>
      <c r="O217" s="36">
        <v>21</v>
      </c>
      <c r="P217" s="38">
        <f t="shared" si="2"/>
        <v>100</v>
      </c>
      <c r="Q217" s="74" t="s">
        <v>56</v>
      </c>
      <c r="R217" s="76" t="str">
        <f t="shared" si="3"/>
        <v>X</v>
      </c>
      <c r="S217" s="77" t="s">
        <v>60</v>
      </c>
      <c r="T217" s="34" t="str">
        <f>IF('PL1(Full)'!$N217&gt;=20,"x",IF(AND('PL1(Full)'!$N217&gt;=15,'PL1(Full)'!$P217&gt;60),"x",""))</f>
        <v>x</v>
      </c>
      <c r="U217" s="34" t="str">
        <f>IF(AND('PL1(Full)'!$H217="Thôn",'PL1(Full)'!$I217&lt;75),"x",IF(AND('PL1(Full)'!$H217="Tổ",'PL1(Full)'!$I217&lt;100),"x","-"))</f>
        <v>x</v>
      </c>
      <c r="V217" s="34" t="str">
        <f>IF(AND('PL1(Full)'!$H217="Thôn",'PL1(Full)'!$I217&lt;140),"x",IF(AND('PL1(Full)'!$H217="Tổ",'PL1(Full)'!$I217&lt;210),"x","-"))</f>
        <v>x</v>
      </c>
      <c r="W217" s="40" t="str">
        <f t="shared" si="41"/>
        <v>Loại 3</v>
      </c>
      <c r="X217" s="34"/>
    </row>
    <row r="218" spans="1:24" ht="15.75" customHeight="1">
      <c r="A218" s="30">
        <f>_xlfn.AGGREGATE(4,7,A$6:A217)+1</f>
        <v>145</v>
      </c>
      <c r="B218" s="54" t="str">
        <f t="shared" si="40"/>
        <v>H. Bạch Thông</v>
      </c>
      <c r="C218" s="54" t="str">
        <f t="shared" si="44"/>
        <v>X. Đôn Phong</v>
      </c>
      <c r="D218" s="34"/>
      <c r="E218" s="34" t="s">
        <v>58</v>
      </c>
      <c r="F218" s="31" t="s">
        <v>297</v>
      </c>
      <c r="G218" s="34"/>
      <c r="H218" s="34" t="str">
        <f>IF(LEFT('PL1(Full)'!$F218,4)="Thôn","Thôn","Tổ")</f>
        <v>Thôn</v>
      </c>
      <c r="I218" s="36">
        <v>59</v>
      </c>
      <c r="J218" s="36">
        <v>250</v>
      </c>
      <c r="K218" s="36">
        <v>58</v>
      </c>
      <c r="L218" s="37">
        <f t="shared" si="0"/>
        <v>98.305084745762713</v>
      </c>
      <c r="M218" s="36">
        <v>1</v>
      </c>
      <c r="N218" s="38">
        <f t="shared" si="1"/>
        <v>1.6949152542372881</v>
      </c>
      <c r="O218" s="36">
        <v>1</v>
      </c>
      <c r="P218" s="38">
        <f t="shared" si="2"/>
        <v>100</v>
      </c>
      <c r="Q218" s="74" t="s">
        <v>56</v>
      </c>
      <c r="R218" s="74" t="str">
        <f t="shared" si="3"/>
        <v>X</v>
      </c>
      <c r="S218" s="75" t="s">
        <v>60</v>
      </c>
      <c r="T218" s="34" t="str">
        <f>IF('PL1(Full)'!$N218&gt;=20,"x",IF(AND('PL1(Full)'!$N218&gt;=15,'PL1(Full)'!$P218&gt;60),"x",""))</f>
        <v/>
      </c>
      <c r="U218" s="34" t="str">
        <f>IF(AND('PL1(Full)'!$H218="Thôn",'PL1(Full)'!$I218&lt;75),"x",IF(AND('PL1(Full)'!$H218="Tổ",'PL1(Full)'!$I218&lt;100),"x","-"))</f>
        <v>x</v>
      </c>
      <c r="V218" s="34" t="str">
        <f>IF(AND('PL1(Full)'!$H218="Thôn",'PL1(Full)'!$I218&lt;140),"x",IF(AND('PL1(Full)'!$H218="Tổ",'PL1(Full)'!$I218&lt;210),"x","-"))</f>
        <v>x</v>
      </c>
      <c r="W218" s="40" t="str">
        <f t="shared" si="41"/>
        <v>Loại 3</v>
      </c>
      <c r="X218" s="34"/>
    </row>
    <row r="219" spans="1:24" ht="15.75" customHeight="1">
      <c r="A219" s="30">
        <f>_xlfn.AGGREGATE(4,7,A$6:A218)+1</f>
        <v>146</v>
      </c>
      <c r="B219" s="54" t="str">
        <f t="shared" si="40"/>
        <v>H. Bạch Thông</v>
      </c>
      <c r="C219" s="54" t="str">
        <f t="shared" si="44"/>
        <v>X. Đôn Phong</v>
      </c>
      <c r="D219" s="34"/>
      <c r="E219" s="34" t="s">
        <v>58</v>
      </c>
      <c r="F219" s="31" t="s">
        <v>298</v>
      </c>
      <c r="G219" s="34"/>
      <c r="H219" s="34" t="str">
        <f>IF(LEFT('PL1(Full)'!$F219,4)="Thôn","Thôn","Tổ")</f>
        <v>Thôn</v>
      </c>
      <c r="I219" s="36">
        <v>72</v>
      </c>
      <c r="J219" s="36">
        <v>236</v>
      </c>
      <c r="K219" s="36">
        <v>48</v>
      </c>
      <c r="L219" s="37">
        <f t="shared" si="0"/>
        <v>66.666666666666671</v>
      </c>
      <c r="M219" s="36">
        <v>3</v>
      </c>
      <c r="N219" s="38">
        <f t="shared" si="1"/>
        <v>4.166666666666667</v>
      </c>
      <c r="O219" s="36">
        <v>3</v>
      </c>
      <c r="P219" s="38">
        <f t="shared" si="2"/>
        <v>100</v>
      </c>
      <c r="Q219" s="74" t="s">
        <v>56</v>
      </c>
      <c r="R219" s="76" t="str">
        <f t="shared" si="3"/>
        <v>X</v>
      </c>
      <c r="S219" s="77"/>
      <c r="T219" s="34" t="str">
        <f>IF('PL1(Full)'!$N219&gt;=20,"x",IF(AND('PL1(Full)'!$N219&gt;=15,'PL1(Full)'!$P219&gt;60),"x",""))</f>
        <v/>
      </c>
      <c r="U219" s="34" t="str">
        <f>IF(AND('PL1(Full)'!$H219="Thôn",'PL1(Full)'!$I219&lt;75),"x",IF(AND('PL1(Full)'!$H219="Tổ",'PL1(Full)'!$I219&lt;100),"x","-"))</f>
        <v>x</v>
      </c>
      <c r="V219" s="34" t="str">
        <f>IF(AND('PL1(Full)'!$H219="Thôn",'PL1(Full)'!$I219&lt;140),"x",IF(AND('PL1(Full)'!$H219="Tổ",'PL1(Full)'!$I219&lt;210),"x","-"))</f>
        <v>x</v>
      </c>
      <c r="W219" s="40" t="str">
        <f t="shared" si="41"/>
        <v>Loại 3</v>
      </c>
      <c r="X219" s="34"/>
    </row>
    <row r="220" spans="1:24" ht="15.75" customHeight="1">
      <c r="A220" s="30">
        <f>_xlfn.AGGREGATE(4,7,A$6:A219)+1</f>
        <v>147</v>
      </c>
      <c r="B220" s="54" t="str">
        <f t="shared" si="40"/>
        <v>H. Bạch Thông</v>
      </c>
      <c r="C220" s="54" t="str">
        <f t="shared" si="44"/>
        <v>X. Đôn Phong</v>
      </c>
      <c r="D220" s="34"/>
      <c r="E220" s="34" t="s">
        <v>58</v>
      </c>
      <c r="F220" s="31" t="s">
        <v>299</v>
      </c>
      <c r="G220" s="34"/>
      <c r="H220" s="34" t="str">
        <f>IF(LEFT('PL1(Full)'!$F220,4)="Thôn","Thôn","Tổ")</f>
        <v>Thôn</v>
      </c>
      <c r="I220" s="36">
        <v>43</v>
      </c>
      <c r="J220" s="36">
        <v>204</v>
      </c>
      <c r="K220" s="36">
        <v>43</v>
      </c>
      <c r="L220" s="37">
        <f t="shared" si="0"/>
        <v>100</v>
      </c>
      <c r="M220" s="36">
        <v>34</v>
      </c>
      <c r="N220" s="38">
        <f t="shared" si="1"/>
        <v>79.069767441860463</v>
      </c>
      <c r="O220" s="36">
        <v>34</v>
      </c>
      <c r="P220" s="38">
        <f t="shared" si="2"/>
        <v>100</v>
      </c>
      <c r="Q220" s="74" t="s">
        <v>300</v>
      </c>
      <c r="R220" s="76" t="str">
        <f t="shared" si="3"/>
        <v>T</v>
      </c>
      <c r="S220" s="77" t="s">
        <v>60</v>
      </c>
      <c r="T220" s="34" t="str">
        <f>IF('PL1(Full)'!$N220&gt;=20,"x",IF(AND('PL1(Full)'!$N220&gt;=15,'PL1(Full)'!$P220&gt;60),"x",""))</f>
        <v>x</v>
      </c>
      <c r="U220" s="34" t="str">
        <f>IF(AND('PL1(Full)'!$H220="Thôn",'PL1(Full)'!$I220&lt;75),"x",IF(AND('PL1(Full)'!$H220="Tổ",'PL1(Full)'!$I220&lt;100),"x","-"))</f>
        <v>x</v>
      </c>
      <c r="V220" s="34" t="str">
        <f>IF(AND('PL1(Full)'!$H220="Thôn",'PL1(Full)'!$I220&lt;140),"x",IF(AND('PL1(Full)'!$H220="Tổ",'PL1(Full)'!$I220&lt;210),"x","-"))</f>
        <v>x</v>
      </c>
      <c r="W220" s="40" t="str">
        <f t="shared" si="41"/>
        <v>Loại 3</v>
      </c>
      <c r="X220" s="34"/>
    </row>
    <row r="221" spans="1:24" ht="15.75" hidden="1" customHeight="1">
      <c r="A221" s="41">
        <f>_xlfn.AGGREGATE(4,7,A$6:A220)+1</f>
        <v>148</v>
      </c>
      <c r="B221" s="55" t="str">
        <f t="shared" si="40"/>
        <v>H. Bạch Thông</v>
      </c>
      <c r="C221" s="55" t="str">
        <f t="shared" si="44"/>
        <v>X. Đôn Phong</v>
      </c>
      <c r="D221" s="50"/>
      <c r="E221" s="50" t="s">
        <v>58</v>
      </c>
      <c r="F221" s="42" t="s">
        <v>301</v>
      </c>
      <c r="G221" s="50"/>
      <c r="H221" s="50" t="str">
        <f>IF(LEFT('PL1(Full)'!$F221,4)="Thôn","Thôn","Tổ")</f>
        <v>Thôn</v>
      </c>
      <c r="I221" s="46">
        <v>75</v>
      </c>
      <c r="J221" s="46">
        <v>366</v>
      </c>
      <c r="K221" s="46">
        <v>74</v>
      </c>
      <c r="L221" s="47">
        <f t="shared" si="0"/>
        <v>98.666666666666671</v>
      </c>
      <c r="M221" s="46">
        <v>28</v>
      </c>
      <c r="N221" s="48">
        <f t="shared" si="1"/>
        <v>37.333333333333336</v>
      </c>
      <c r="O221" s="46">
        <v>27</v>
      </c>
      <c r="P221" s="48">
        <f t="shared" si="2"/>
        <v>96.428571428571431</v>
      </c>
      <c r="Q221" s="74" t="s">
        <v>56</v>
      </c>
      <c r="R221" s="82" t="str">
        <f t="shared" si="3"/>
        <v>X</v>
      </c>
      <c r="S221" s="83" t="s">
        <v>60</v>
      </c>
      <c r="T221" s="50" t="str">
        <f>IF('PL1(Full)'!$N221&gt;=20,"x",IF(AND('PL1(Full)'!$N221&gt;=15,'PL1(Full)'!$P221&gt;60),"x",""))</f>
        <v>x</v>
      </c>
      <c r="U221" s="50" t="str">
        <f>IF(AND('PL1(Full)'!$H221="Thôn",'PL1(Full)'!$I221&lt;75),"x",IF(AND('PL1(Full)'!$H221="Tổ",'PL1(Full)'!$I221&lt;100),"x","-"))</f>
        <v>-</v>
      </c>
      <c r="V221" s="34" t="str">
        <f>IF(AND('PL1(Full)'!$H221="Thôn",'PL1(Full)'!$I221&lt;140),"x",IF(AND('PL1(Full)'!$H221="Tổ",'PL1(Full)'!$I221&lt;210),"x","-"))</f>
        <v>x</v>
      </c>
      <c r="W221" s="51" t="str">
        <f t="shared" si="41"/>
        <v>Loại 3</v>
      </c>
      <c r="X221" s="50"/>
    </row>
    <row r="222" spans="1:24" ht="15.75" customHeight="1">
      <c r="A222" s="52">
        <f>_xlfn.AGGREGATE(4,7,A$6:A221)+1</f>
        <v>148</v>
      </c>
      <c r="B222" s="53" t="str">
        <f t="shared" si="40"/>
        <v>H. Bạch Thông</v>
      </c>
      <c r="C222" s="14" t="s">
        <v>302</v>
      </c>
      <c r="D222" s="25" t="s">
        <v>36</v>
      </c>
      <c r="E222" s="25" t="s">
        <v>36</v>
      </c>
      <c r="F222" s="14" t="s">
        <v>303</v>
      </c>
      <c r="G222" s="25"/>
      <c r="H222" s="25" t="str">
        <f>IF(LEFT('PL1(Full)'!$F222,4)="Thôn","Thôn","Tổ")</f>
        <v>Thôn</v>
      </c>
      <c r="I222" s="20">
        <v>35</v>
      </c>
      <c r="J222" s="20">
        <v>150</v>
      </c>
      <c r="K222" s="20">
        <v>33</v>
      </c>
      <c r="L222" s="21">
        <f t="shared" si="0"/>
        <v>94.285714285714292</v>
      </c>
      <c r="M222" s="20">
        <v>2</v>
      </c>
      <c r="N222" s="22">
        <f t="shared" si="1"/>
        <v>5.7142857142857144</v>
      </c>
      <c r="O222" s="20">
        <v>2</v>
      </c>
      <c r="P222" s="22">
        <f t="shared" si="2"/>
        <v>100</v>
      </c>
      <c r="Q222" s="80" t="s">
        <v>56</v>
      </c>
      <c r="R222" s="80" t="str">
        <f t="shared" si="3"/>
        <v>X</v>
      </c>
      <c r="S222" s="81"/>
      <c r="T222" s="26" t="str">
        <f>IF('PL1(Full)'!$N222&gt;=20,"x",IF(AND('PL1(Full)'!$N222&gt;=15,'PL1(Full)'!$P222&gt;60),"x",""))</f>
        <v/>
      </c>
      <c r="U222" s="27" t="str">
        <f>IF(AND('PL1(Full)'!$H222="Thôn",'PL1(Full)'!$I222&lt;75),"x",IF(AND('PL1(Full)'!$H222="Tổ",'PL1(Full)'!$I222&lt;100),"x","-"))</f>
        <v>x</v>
      </c>
      <c r="V222" s="28" t="str">
        <f>IF(AND('PL1(Full)'!$H222="Thôn",'PL1(Full)'!$I222&lt;140),"x",IF(AND('PL1(Full)'!$H222="Tổ",'PL1(Full)'!$I222&lt;210),"x","-"))</f>
        <v>x</v>
      </c>
      <c r="W222" s="29" t="str">
        <f t="shared" si="41"/>
        <v>Loại 3</v>
      </c>
      <c r="X222" s="25"/>
    </row>
    <row r="223" spans="1:24" ht="15.75" customHeight="1">
      <c r="A223" s="30">
        <f>_xlfn.AGGREGATE(4,7,A$6:A222)+1</f>
        <v>149</v>
      </c>
      <c r="B223" s="54" t="str">
        <f t="shared" si="40"/>
        <v>H. Bạch Thông</v>
      </c>
      <c r="C223" s="31" t="str">
        <f t="shared" ref="C223:C230" si="45">C222</f>
        <v>X. Dương Phong</v>
      </c>
      <c r="D223" s="34"/>
      <c r="E223" s="34" t="s">
        <v>36</v>
      </c>
      <c r="F223" s="31" t="s">
        <v>304</v>
      </c>
      <c r="G223" s="34"/>
      <c r="H223" s="34" t="str">
        <f>IF(LEFT('PL1(Full)'!$F223,4)="Thôn","Thôn","Tổ")</f>
        <v>Thôn</v>
      </c>
      <c r="I223" s="36">
        <v>74</v>
      </c>
      <c r="J223" s="36">
        <v>299</v>
      </c>
      <c r="K223" s="36">
        <v>67</v>
      </c>
      <c r="L223" s="37">
        <f t="shared" si="0"/>
        <v>90.540540540540547</v>
      </c>
      <c r="M223" s="36">
        <v>4</v>
      </c>
      <c r="N223" s="38">
        <f t="shared" si="1"/>
        <v>5.4054054054054053</v>
      </c>
      <c r="O223" s="36">
        <v>4</v>
      </c>
      <c r="P223" s="38">
        <f t="shared" si="2"/>
        <v>100</v>
      </c>
      <c r="Q223" s="74" t="s">
        <v>49</v>
      </c>
      <c r="R223" s="74" t="str">
        <f t="shared" si="3"/>
        <v>X</v>
      </c>
      <c r="S223" s="75"/>
      <c r="T223" s="34" t="str">
        <f>IF('PL1(Full)'!$N223&gt;=20,"x",IF(AND('PL1(Full)'!$N223&gt;=15,'PL1(Full)'!$P223&gt;60),"x",""))</f>
        <v/>
      </c>
      <c r="U223" s="34" t="str">
        <f>IF(AND('PL1(Full)'!$H223="Thôn",'PL1(Full)'!$I223&lt;75),"x",IF(AND('PL1(Full)'!$H223="Tổ",'PL1(Full)'!$I223&lt;100),"x","-"))</f>
        <v>x</v>
      </c>
      <c r="V223" s="34" t="str">
        <f>IF(AND('PL1(Full)'!$H223="Thôn",'PL1(Full)'!$I223&lt;140),"x",IF(AND('PL1(Full)'!$H223="Tổ",'PL1(Full)'!$I223&lt;210),"x","-"))</f>
        <v>x</v>
      </c>
      <c r="W223" s="40" t="str">
        <f t="shared" si="41"/>
        <v>Loại 3</v>
      </c>
      <c r="X223" s="34"/>
    </row>
    <row r="224" spans="1:24" ht="15.75" hidden="1" customHeight="1">
      <c r="A224" s="30">
        <f>_xlfn.AGGREGATE(4,7,A$6:A223)+1</f>
        <v>150</v>
      </c>
      <c r="B224" s="54" t="str">
        <f t="shared" si="40"/>
        <v>H. Bạch Thông</v>
      </c>
      <c r="C224" s="31" t="str">
        <f t="shared" si="45"/>
        <v>X. Dương Phong</v>
      </c>
      <c r="D224" s="34"/>
      <c r="E224" s="34" t="s">
        <v>36</v>
      </c>
      <c r="F224" s="31" t="s">
        <v>305</v>
      </c>
      <c r="G224" s="32" t="s">
        <v>137</v>
      </c>
      <c r="H224" s="34" t="str">
        <f>IF(LEFT('PL1(Full)'!$F224,4)="Thôn","Thôn","Tổ")</f>
        <v>Thôn</v>
      </c>
      <c r="I224" s="36">
        <v>85</v>
      </c>
      <c r="J224" s="36">
        <v>342</v>
      </c>
      <c r="K224" s="36">
        <v>85</v>
      </c>
      <c r="L224" s="37">
        <f t="shared" si="0"/>
        <v>100</v>
      </c>
      <c r="M224" s="36">
        <v>4</v>
      </c>
      <c r="N224" s="38">
        <f t="shared" si="1"/>
        <v>4.7058823529411766</v>
      </c>
      <c r="O224" s="36">
        <v>4</v>
      </c>
      <c r="P224" s="38">
        <f t="shared" si="2"/>
        <v>100</v>
      </c>
      <c r="Q224" s="76" t="s">
        <v>49</v>
      </c>
      <c r="R224" s="76" t="str">
        <f t="shared" si="3"/>
        <v>X</v>
      </c>
      <c r="S224" s="77"/>
      <c r="T224" s="34" t="str">
        <f>IF('PL1(Full)'!$N224&gt;=20,"x",IF(AND('PL1(Full)'!$N224&gt;=15,'PL1(Full)'!$P224&gt;60),"x",""))</f>
        <v/>
      </c>
      <c r="U224" s="34" t="str">
        <f>IF(AND('PL1(Full)'!$H224="Thôn",'PL1(Full)'!$I224&lt;75),"x",IF(AND('PL1(Full)'!$H224="Tổ",'PL1(Full)'!$I224&lt;100),"x","-"))</f>
        <v>-</v>
      </c>
      <c r="V224" s="34" t="str">
        <f>IF(AND('PL1(Full)'!$H224="Thôn",'PL1(Full)'!$I224&lt;140),"x",IF(AND('PL1(Full)'!$H224="Tổ",'PL1(Full)'!$I224&lt;210),"x","-"))</f>
        <v>x</v>
      </c>
      <c r="W224" s="40" t="str">
        <f t="shared" si="41"/>
        <v>Loại 3</v>
      </c>
      <c r="X224" s="34"/>
    </row>
    <row r="225" spans="1:24" ht="15.75" customHeight="1">
      <c r="A225" s="30">
        <f>_xlfn.AGGREGATE(4,7,A$6:A224)+1</f>
        <v>150</v>
      </c>
      <c r="B225" s="54" t="str">
        <f t="shared" si="40"/>
        <v>H. Bạch Thông</v>
      </c>
      <c r="C225" s="31" t="str">
        <f t="shared" si="45"/>
        <v>X. Dương Phong</v>
      </c>
      <c r="D225" s="34"/>
      <c r="E225" s="34" t="s">
        <v>36</v>
      </c>
      <c r="F225" s="31" t="s">
        <v>306</v>
      </c>
      <c r="G225" s="34"/>
      <c r="H225" s="34" t="str">
        <f>IF(LEFT('PL1(Full)'!$F225,4)="Thôn","Thôn","Tổ")</f>
        <v>Thôn</v>
      </c>
      <c r="I225" s="36">
        <v>29</v>
      </c>
      <c r="J225" s="36">
        <v>128</v>
      </c>
      <c r="K225" s="36">
        <v>26</v>
      </c>
      <c r="L225" s="37">
        <f t="shared" si="0"/>
        <v>89.65517241379311</v>
      </c>
      <c r="M225" s="36">
        <v>0</v>
      </c>
      <c r="N225" s="38">
        <f t="shared" si="1"/>
        <v>0</v>
      </c>
      <c r="O225" s="36">
        <v>0</v>
      </c>
      <c r="P225" s="38">
        <f t="shared" si="2"/>
        <v>0</v>
      </c>
      <c r="Q225" s="74" t="s">
        <v>56</v>
      </c>
      <c r="R225" s="74" t="str">
        <f t="shared" si="3"/>
        <v>X</v>
      </c>
      <c r="S225" s="75"/>
      <c r="T225" s="34"/>
      <c r="U225" s="34" t="str">
        <f>IF(AND('PL1(Full)'!$H225="Thôn",'PL1(Full)'!$I225&lt;75),"x",IF(AND('PL1(Full)'!$H225="Tổ",'PL1(Full)'!$I225&lt;100),"x","-"))</f>
        <v>x</v>
      </c>
      <c r="V225" s="34" t="str">
        <f>IF(AND('PL1(Full)'!$H225="Thôn",'PL1(Full)'!$I225&lt;140),"x",IF(AND('PL1(Full)'!$H225="Tổ",'PL1(Full)'!$I225&lt;210),"x","-"))</f>
        <v>x</v>
      </c>
      <c r="W225" s="40" t="str">
        <f t="shared" si="41"/>
        <v>Loại 3</v>
      </c>
      <c r="X225" s="34"/>
    </row>
    <row r="226" spans="1:24" ht="15.75" customHeight="1">
      <c r="A226" s="30">
        <f>_xlfn.AGGREGATE(4,7,A$6:A225)+1</f>
        <v>151</v>
      </c>
      <c r="B226" s="54" t="str">
        <f t="shared" si="40"/>
        <v>H. Bạch Thông</v>
      </c>
      <c r="C226" s="31" t="str">
        <f t="shared" si="45"/>
        <v>X. Dương Phong</v>
      </c>
      <c r="D226" s="34"/>
      <c r="E226" s="34" t="s">
        <v>36</v>
      </c>
      <c r="F226" s="31" t="s">
        <v>307</v>
      </c>
      <c r="G226" s="34"/>
      <c r="H226" s="34" t="str">
        <f>IF(LEFT('PL1(Full)'!$F226,4)="Thôn","Thôn","Tổ")</f>
        <v>Thôn</v>
      </c>
      <c r="I226" s="36">
        <v>61</v>
      </c>
      <c r="J226" s="36">
        <v>257</v>
      </c>
      <c r="K226" s="36">
        <v>56</v>
      </c>
      <c r="L226" s="37">
        <f t="shared" si="0"/>
        <v>91.803278688524586</v>
      </c>
      <c r="M226" s="36">
        <v>9</v>
      </c>
      <c r="N226" s="38">
        <f t="shared" si="1"/>
        <v>14.754098360655737</v>
      </c>
      <c r="O226" s="36">
        <v>9</v>
      </c>
      <c r="P226" s="38">
        <f t="shared" si="2"/>
        <v>100</v>
      </c>
      <c r="Q226" s="74" t="s">
        <v>56</v>
      </c>
      <c r="R226" s="74" t="str">
        <f t="shared" si="3"/>
        <v>X</v>
      </c>
      <c r="S226" s="75" t="s">
        <v>60</v>
      </c>
      <c r="T226" s="34" t="str">
        <f>IF('PL1(Full)'!$N226&gt;=20,"x",IF(AND('PL1(Full)'!$N226&gt;=15,'PL1(Full)'!$P226&gt;60),"x",""))</f>
        <v/>
      </c>
      <c r="U226" s="34" t="str">
        <f>IF(AND('PL1(Full)'!$H226="Thôn",'PL1(Full)'!$I226&lt;75),"x",IF(AND('PL1(Full)'!$H226="Tổ",'PL1(Full)'!$I226&lt;100),"x","-"))</f>
        <v>x</v>
      </c>
      <c r="V226" s="34" t="str">
        <f>IF(AND('PL1(Full)'!$H226="Thôn",'PL1(Full)'!$I226&lt;140),"x",IF(AND('PL1(Full)'!$H226="Tổ",'PL1(Full)'!$I226&lt;210),"x","-"))</f>
        <v>x</v>
      </c>
      <c r="W226" s="40" t="str">
        <f t="shared" si="41"/>
        <v>Loại 3</v>
      </c>
      <c r="X226" s="34"/>
    </row>
    <row r="227" spans="1:24" ht="15.75" customHeight="1">
      <c r="A227" s="30">
        <f>_xlfn.AGGREGATE(4,7,A$6:A226)+1</f>
        <v>152</v>
      </c>
      <c r="B227" s="54" t="str">
        <f t="shared" si="40"/>
        <v>H. Bạch Thông</v>
      </c>
      <c r="C227" s="31" t="str">
        <f t="shared" si="45"/>
        <v>X. Dương Phong</v>
      </c>
      <c r="D227" s="34"/>
      <c r="E227" s="34" t="s">
        <v>36</v>
      </c>
      <c r="F227" s="31" t="s">
        <v>308</v>
      </c>
      <c r="G227" s="34"/>
      <c r="H227" s="34" t="str">
        <f>IF(LEFT('PL1(Full)'!$F227,4)="Thôn","Thôn","Tổ")</f>
        <v>Thôn</v>
      </c>
      <c r="I227" s="36">
        <v>17</v>
      </c>
      <c r="J227" s="36">
        <v>68</v>
      </c>
      <c r="K227" s="36">
        <v>16</v>
      </c>
      <c r="L227" s="37">
        <f t="shared" si="0"/>
        <v>94.117647058823536</v>
      </c>
      <c r="M227" s="36">
        <v>5</v>
      </c>
      <c r="N227" s="38">
        <f t="shared" si="1"/>
        <v>29.411764705882351</v>
      </c>
      <c r="O227" s="36">
        <v>4</v>
      </c>
      <c r="P227" s="38">
        <f t="shared" si="2"/>
        <v>80</v>
      </c>
      <c r="Q227" s="76" t="s">
        <v>63</v>
      </c>
      <c r="R227" s="76" t="str">
        <f t="shared" si="3"/>
        <v>X</v>
      </c>
      <c r="S227" s="77" t="s">
        <v>60</v>
      </c>
      <c r="T227" s="34" t="str">
        <f>IF('PL1(Full)'!$N227&gt;=20,"x",IF(AND('PL1(Full)'!$N227&gt;=15,'PL1(Full)'!$P227&gt;60),"x",""))</f>
        <v>x</v>
      </c>
      <c r="U227" s="34" t="str">
        <f>IF(AND('PL1(Full)'!$H227="Thôn",'PL1(Full)'!$I227&lt;75),"x",IF(AND('PL1(Full)'!$H227="Tổ",'PL1(Full)'!$I227&lt;100),"x","-"))</f>
        <v>x</v>
      </c>
      <c r="V227" s="34" t="str">
        <f>IF(AND('PL1(Full)'!$H227="Thôn",'PL1(Full)'!$I227&lt;140),"x",IF(AND('PL1(Full)'!$H227="Tổ",'PL1(Full)'!$I227&lt;210),"x","-"))</f>
        <v>x</v>
      </c>
      <c r="W227" s="40" t="str">
        <f t="shared" si="41"/>
        <v>Loại 3</v>
      </c>
      <c r="X227" s="34"/>
    </row>
    <row r="228" spans="1:24" ht="15.75" customHeight="1">
      <c r="A228" s="30">
        <f>_xlfn.AGGREGATE(4,7,A$6:A227)+1</f>
        <v>153</v>
      </c>
      <c r="B228" s="54" t="str">
        <f t="shared" si="40"/>
        <v>H. Bạch Thông</v>
      </c>
      <c r="C228" s="31" t="str">
        <f t="shared" si="45"/>
        <v>X. Dương Phong</v>
      </c>
      <c r="D228" s="34"/>
      <c r="E228" s="34" t="s">
        <v>36</v>
      </c>
      <c r="F228" s="31" t="s">
        <v>309</v>
      </c>
      <c r="G228" s="34"/>
      <c r="H228" s="34" t="str">
        <f>IF(LEFT('PL1(Full)'!$F228,4)="Thôn","Thôn","Tổ")</f>
        <v>Thôn</v>
      </c>
      <c r="I228" s="36">
        <v>74</v>
      </c>
      <c r="J228" s="36">
        <v>274</v>
      </c>
      <c r="K228" s="36">
        <v>73</v>
      </c>
      <c r="L228" s="37">
        <f t="shared" si="0"/>
        <v>98.648648648648646</v>
      </c>
      <c r="M228" s="36">
        <v>4</v>
      </c>
      <c r="N228" s="38">
        <f t="shared" si="1"/>
        <v>5.4054054054054053</v>
      </c>
      <c r="O228" s="36">
        <v>3</v>
      </c>
      <c r="P228" s="38">
        <f t="shared" si="2"/>
        <v>75</v>
      </c>
      <c r="Q228" s="74" t="s">
        <v>49</v>
      </c>
      <c r="R228" s="74" t="str">
        <f t="shared" si="3"/>
        <v>X</v>
      </c>
      <c r="S228" s="75"/>
      <c r="T228" s="34" t="str">
        <f>IF('PL1(Full)'!$N228&gt;=20,"x",IF(AND('PL1(Full)'!$N228&gt;=15,'PL1(Full)'!$P228&gt;60),"x",""))</f>
        <v/>
      </c>
      <c r="U228" s="34" t="str">
        <f>IF(AND('PL1(Full)'!$H228="Thôn",'PL1(Full)'!$I228&lt;75),"x",IF(AND('PL1(Full)'!$H228="Tổ",'PL1(Full)'!$I228&lt;100),"x","-"))</f>
        <v>x</v>
      </c>
      <c r="V228" s="34" t="str">
        <f>IF(AND('PL1(Full)'!$H228="Thôn",'PL1(Full)'!$I228&lt;140),"x",IF(AND('PL1(Full)'!$H228="Tổ",'PL1(Full)'!$I228&lt;210),"x","-"))</f>
        <v>x</v>
      </c>
      <c r="W228" s="40" t="str">
        <f t="shared" si="41"/>
        <v>Loại 3</v>
      </c>
      <c r="X228" s="34"/>
    </row>
    <row r="229" spans="1:24" ht="15.75" customHeight="1">
      <c r="A229" s="30">
        <f>_xlfn.AGGREGATE(4,7,A$6:A228)+1</f>
        <v>154</v>
      </c>
      <c r="B229" s="54" t="str">
        <f t="shared" si="40"/>
        <v>H. Bạch Thông</v>
      </c>
      <c r="C229" s="31" t="str">
        <f t="shared" si="45"/>
        <v>X. Dương Phong</v>
      </c>
      <c r="D229" s="34"/>
      <c r="E229" s="34" t="s">
        <v>36</v>
      </c>
      <c r="F229" s="31" t="s">
        <v>310</v>
      </c>
      <c r="G229" s="34"/>
      <c r="H229" s="34" t="str">
        <f>IF(LEFT('PL1(Full)'!$F229,4)="Thôn","Thôn","Tổ")</f>
        <v>Thôn</v>
      </c>
      <c r="I229" s="36">
        <v>47</v>
      </c>
      <c r="J229" s="36">
        <v>194</v>
      </c>
      <c r="K229" s="36">
        <v>43</v>
      </c>
      <c r="L229" s="37">
        <f t="shared" si="0"/>
        <v>91.489361702127653</v>
      </c>
      <c r="M229" s="36">
        <v>4</v>
      </c>
      <c r="N229" s="38">
        <f t="shared" si="1"/>
        <v>8.5106382978723403</v>
      </c>
      <c r="O229" s="36">
        <v>4</v>
      </c>
      <c r="P229" s="38">
        <f t="shared" si="2"/>
        <v>100</v>
      </c>
      <c r="Q229" s="74" t="s">
        <v>56</v>
      </c>
      <c r="R229" s="74" t="str">
        <f t="shared" si="3"/>
        <v>X</v>
      </c>
      <c r="S229" s="75"/>
      <c r="T229" s="34" t="str">
        <f>IF('PL1(Full)'!$N229&gt;=20,"x",IF(AND('PL1(Full)'!$N229&gt;=15,'PL1(Full)'!$P229&gt;60),"x",""))</f>
        <v/>
      </c>
      <c r="U229" s="34" t="str">
        <f>IF(AND('PL1(Full)'!$H229="Thôn",'PL1(Full)'!$I229&lt;75),"x",IF(AND('PL1(Full)'!$H229="Tổ",'PL1(Full)'!$I229&lt;100),"x","-"))</f>
        <v>x</v>
      </c>
      <c r="V229" s="34" t="str">
        <f>IF(AND('PL1(Full)'!$H229="Thôn",'PL1(Full)'!$I229&lt;140),"x",IF(AND('PL1(Full)'!$H229="Tổ",'PL1(Full)'!$I229&lt;210),"x","-"))</f>
        <v>x</v>
      </c>
      <c r="W229" s="40" t="str">
        <f t="shared" si="41"/>
        <v>Loại 3</v>
      </c>
      <c r="X229" s="34"/>
    </row>
    <row r="230" spans="1:24" ht="15.75" customHeight="1">
      <c r="A230" s="41">
        <f>_xlfn.AGGREGATE(4,7,A$6:A229)+1</f>
        <v>155</v>
      </c>
      <c r="B230" s="55" t="str">
        <f t="shared" si="40"/>
        <v>H. Bạch Thông</v>
      </c>
      <c r="C230" s="42" t="str">
        <f t="shared" si="45"/>
        <v>X. Dương Phong</v>
      </c>
      <c r="D230" s="50"/>
      <c r="E230" s="50" t="s">
        <v>36</v>
      </c>
      <c r="F230" s="42" t="s">
        <v>311</v>
      </c>
      <c r="G230" s="50"/>
      <c r="H230" s="50" t="str">
        <f>IF(LEFT('PL1(Full)'!$F230,4)="Thôn","Thôn","Tổ")</f>
        <v>Thôn</v>
      </c>
      <c r="I230" s="46">
        <v>72</v>
      </c>
      <c r="J230" s="46">
        <v>296</v>
      </c>
      <c r="K230" s="46">
        <v>69</v>
      </c>
      <c r="L230" s="47">
        <f t="shared" si="0"/>
        <v>95.833333333333329</v>
      </c>
      <c r="M230" s="46">
        <v>1</v>
      </c>
      <c r="N230" s="48">
        <f t="shared" si="1"/>
        <v>1.3888888888888888</v>
      </c>
      <c r="O230" s="46">
        <v>1</v>
      </c>
      <c r="P230" s="48">
        <f t="shared" si="2"/>
        <v>100</v>
      </c>
      <c r="Q230" s="84" t="s">
        <v>56</v>
      </c>
      <c r="R230" s="84" t="str">
        <f t="shared" si="3"/>
        <v>X</v>
      </c>
      <c r="S230" s="83"/>
      <c r="T230" s="50" t="str">
        <f>IF('PL1(Full)'!$N230&gt;=20,"x",IF(AND('PL1(Full)'!$N230&gt;=15,'PL1(Full)'!$P230&gt;60),"x",""))</f>
        <v/>
      </c>
      <c r="U230" s="50" t="str">
        <f>IF(AND('PL1(Full)'!$H230="Thôn",'PL1(Full)'!$I230&lt;75),"x",IF(AND('PL1(Full)'!$H230="Tổ",'PL1(Full)'!$I230&lt;100),"x","-"))</f>
        <v>x</v>
      </c>
      <c r="V230" s="34" t="str">
        <f>IF(AND('PL1(Full)'!$H230="Thôn",'PL1(Full)'!$I230&lt;140),"x",IF(AND('PL1(Full)'!$H230="Tổ",'PL1(Full)'!$I230&lt;210),"x","-"))</f>
        <v>x</v>
      </c>
      <c r="W230" s="51" t="str">
        <f t="shared" si="41"/>
        <v>Loại 3</v>
      </c>
      <c r="X230" s="50"/>
    </row>
    <row r="231" spans="1:24" ht="15.75" hidden="1" customHeight="1">
      <c r="A231" s="52">
        <f>_xlfn.AGGREGATE(4,7,A$6:A230)+1</f>
        <v>156</v>
      </c>
      <c r="B231" s="53" t="str">
        <f t="shared" si="40"/>
        <v>H. Bạch Thông</v>
      </c>
      <c r="C231" s="14" t="s">
        <v>312</v>
      </c>
      <c r="D231" s="15" t="s">
        <v>58</v>
      </c>
      <c r="E231" s="16" t="s">
        <v>58</v>
      </c>
      <c r="F231" s="65" t="s">
        <v>313</v>
      </c>
      <c r="G231" s="18"/>
      <c r="H231" s="18" t="str">
        <f>IF(LEFT('PL1(Full)'!$F231,4)="Thôn","Thôn","Tổ")</f>
        <v>Thôn</v>
      </c>
      <c r="I231" s="19">
        <v>110</v>
      </c>
      <c r="J231" s="19">
        <v>423</v>
      </c>
      <c r="K231" s="19">
        <v>106</v>
      </c>
      <c r="L231" s="21">
        <f t="shared" si="0"/>
        <v>96.36363636363636</v>
      </c>
      <c r="M231" s="19">
        <v>3</v>
      </c>
      <c r="N231" s="22">
        <f t="shared" si="1"/>
        <v>2.7272727272727271</v>
      </c>
      <c r="O231" s="19">
        <v>3</v>
      </c>
      <c r="P231" s="22">
        <f t="shared" si="2"/>
        <v>100</v>
      </c>
      <c r="Q231" s="85" t="s">
        <v>43</v>
      </c>
      <c r="R231" s="85" t="str">
        <f t="shared" si="3"/>
        <v>X</v>
      </c>
      <c r="S231" s="86" t="s">
        <v>60</v>
      </c>
      <c r="T231" s="26" t="str">
        <f>IF('PL1(Full)'!$N231&gt;=20,"x",IF(AND('PL1(Full)'!$N231&gt;=15,'PL1(Full)'!$P231&gt;60),"x",""))</f>
        <v/>
      </c>
      <c r="U231" s="27" t="str">
        <f>IF(AND('PL1(Full)'!$H231="Thôn",'PL1(Full)'!$I231&lt;75),"x",IF(AND('PL1(Full)'!$H231="Tổ",'PL1(Full)'!$I231&lt;100),"x","-"))</f>
        <v>-</v>
      </c>
      <c r="V231" s="28" t="str">
        <f>IF(AND('PL1(Full)'!$H231="Thôn",'PL1(Full)'!$I231&lt;140),"x",IF(AND('PL1(Full)'!$H231="Tổ",'PL1(Full)'!$I231&lt;210),"x","-"))</f>
        <v>x</v>
      </c>
      <c r="W231" s="29" t="str">
        <f t="shared" si="41"/>
        <v>Loại 2</v>
      </c>
      <c r="X231" s="18"/>
    </row>
    <row r="232" spans="1:24" ht="15.75" customHeight="1">
      <c r="A232" s="30">
        <f>_xlfn.AGGREGATE(4,7,A$6:A231)+1</f>
        <v>156</v>
      </c>
      <c r="B232" s="54" t="str">
        <f t="shared" si="40"/>
        <v>H. Bạch Thông</v>
      </c>
      <c r="C232" s="66" t="str">
        <f t="shared" ref="C232:C238" si="46">C231</f>
        <v>X. Lục Bình</v>
      </c>
      <c r="D232" s="32"/>
      <c r="E232" s="32" t="s">
        <v>58</v>
      </c>
      <c r="F232" s="66" t="s">
        <v>219</v>
      </c>
      <c r="G232" s="32"/>
      <c r="H232" s="32" t="str">
        <f>IF(LEFT('PL1(Full)'!$F232,4)="Thôn","Thôn","Tổ")</f>
        <v>Thôn</v>
      </c>
      <c r="I232" s="35">
        <v>48</v>
      </c>
      <c r="J232" s="35">
        <v>208</v>
      </c>
      <c r="K232" s="35">
        <v>48</v>
      </c>
      <c r="L232" s="37">
        <f t="shared" si="0"/>
        <v>100</v>
      </c>
      <c r="M232" s="35">
        <v>6</v>
      </c>
      <c r="N232" s="38">
        <f t="shared" si="1"/>
        <v>12.5</v>
      </c>
      <c r="O232" s="35">
        <v>10</v>
      </c>
      <c r="P232" s="38">
        <f t="shared" si="2"/>
        <v>166.66666666666666</v>
      </c>
      <c r="Q232" s="76" t="s">
        <v>49</v>
      </c>
      <c r="R232" s="76" t="str">
        <f t="shared" si="3"/>
        <v>X</v>
      </c>
      <c r="S232" s="77" t="s">
        <v>60</v>
      </c>
      <c r="T232" s="34" t="str">
        <f>IF('PL1(Full)'!$N232&gt;=20,"x",IF(AND('PL1(Full)'!$N232&gt;=15,'PL1(Full)'!$P232&gt;60),"x",""))</f>
        <v/>
      </c>
      <c r="U232" s="34" t="str">
        <f>IF(AND('PL1(Full)'!$H232="Thôn",'PL1(Full)'!$I232&lt;75),"x",IF(AND('PL1(Full)'!$H232="Tổ",'PL1(Full)'!$I232&lt;100),"x","-"))</f>
        <v>x</v>
      </c>
      <c r="V232" s="34" t="str">
        <f>IF(AND('PL1(Full)'!$H232="Thôn",'PL1(Full)'!$I232&lt;140),"x",IF(AND('PL1(Full)'!$H232="Tổ",'PL1(Full)'!$I232&lt;210),"x","-"))</f>
        <v>x</v>
      </c>
      <c r="W232" s="40" t="str">
        <f t="shared" si="41"/>
        <v>Loại 3</v>
      </c>
      <c r="X232" s="32"/>
    </row>
    <row r="233" spans="1:24" ht="15.75" hidden="1" customHeight="1">
      <c r="A233" s="30">
        <f>_xlfn.AGGREGATE(4,7,A$6:A232)+1</f>
        <v>157</v>
      </c>
      <c r="B233" s="54" t="str">
        <f t="shared" si="40"/>
        <v>H. Bạch Thông</v>
      </c>
      <c r="C233" s="66" t="str">
        <f t="shared" si="46"/>
        <v>X. Lục Bình</v>
      </c>
      <c r="D233" s="32"/>
      <c r="E233" s="32" t="s">
        <v>58</v>
      </c>
      <c r="F233" s="66" t="s">
        <v>314</v>
      </c>
      <c r="G233" s="32"/>
      <c r="H233" s="32" t="str">
        <f>IF(LEFT('PL1(Full)'!$F233,4)="Thôn","Thôn","Tổ")</f>
        <v>Thôn</v>
      </c>
      <c r="I233" s="35">
        <v>91</v>
      </c>
      <c r="J233" s="35">
        <v>383</v>
      </c>
      <c r="K233" s="35">
        <v>91</v>
      </c>
      <c r="L233" s="37">
        <f t="shared" si="0"/>
        <v>100</v>
      </c>
      <c r="M233" s="35">
        <v>6</v>
      </c>
      <c r="N233" s="38">
        <f t="shared" si="1"/>
        <v>6.5934065934065931</v>
      </c>
      <c r="O233" s="35">
        <v>12</v>
      </c>
      <c r="P233" s="38">
        <f t="shared" si="2"/>
        <v>200</v>
      </c>
      <c r="Q233" s="74" t="s">
        <v>56</v>
      </c>
      <c r="R233" s="74" t="str">
        <f t="shared" si="3"/>
        <v>X</v>
      </c>
      <c r="S233" s="75" t="s">
        <v>60</v>
      </c>
      <c r="T233" s="34" t="str">
        <f>IF('PL1(Full)'!$N233&gt;=20,"x",IF(AND('PL1(Full)'!$N233&gt;=15,'PL1(Full)'!$P233&gt;60),"x",""))</f>
        <v/>
      </c>
      <c r="U233" s="34" t="str">
        <f>IF(AND('PL1(Full)'!$H233="Thôn",'PL1(Full)'!$I233&lt;75),"x",IF(AND('PL1(Full)'!$H233="Tổ",'PL1(Full)'!$I233&lt;100),"x","-"))</f>
        <v>-</v>
      </c>
      <c r="V233" s="34" t="str">
        <f>IF(AND('PL1(Full)'!$H233="Thôn",'PL1(Full)'!$I233&lt;140),"x",IF(AND('PL1(Full)'!$H233="Tổ",'PL1(Full)'!$I233&lt;210),"x","-"))</f>
        <v>x</v>
      </c>
      <c r="W233" s="40" t="str">
        <f t="shared" si="41"/>
        <v>Loại 3</v>
      </c>
      <c r="X233" s="32"/>
    </row>
    <row r="234" spans="1:24" ht="15.75" hidden="1" customHeight="1">
      <c r="A234" s="30">
        <f>_xlfn.AGGREGATE(4,7,A$6:A233)+1</f>
        <v>157</v>
      </c>
      <c r="B234" s="54" t="str">
        <f t="shared" si="40"/>
        <v>H. Bạch Thông</v>
      </c>
      <c r="C234" s="66" t="str">
        <f t="shared" si="46"/>
        <v>X. Lục Bình</v>
      </c>
      <c r="D234" s="32"/>
      <c r="E234" s="32" t="s">
        <v>58</v>
      </c>
      <c r="F234" s="66" t="s">
        <v>315</v>
      </c>
      <c r="G234" s="32"/>
      <c r="H234" s="32" t="str">
        <f>IF(LEFT('PL1(Full)'!$F234,4)="Thôn","Thôn","Tổ")</f>
        <v>Thôn</v>
      </c>
      <c r="I234" s="35">
        <v>90</v>
      </c>
      <c r="J234" s="35">
        <v>350</v>
      </c>
      <c r="K234" s="35">
        <v>89</v>
      </c>
      <c r="L234" s="37">
        <f t="shared" si="0"/>
        <v>98.888888888888886</v>
      </c>
      <c r="M234" s="35">
        <v>15</v>
      </c>
      <c r="N234" s="38">
        <f t="shared" si="1"/>
        <v>16.666666666666668</v>
      </c>
      <c r="O234" s="35">
        <v>14</v>
      </c>
      <c r="P234" s="38">
        <f t="shared" si="2"/>
        <v>93.333333333333329</v>
      </c>
      <c r="Q234" s="76" t="s">
        <v>49</v>
      </c>
      <c r="R234" s="76" t="str">
        <f t="shared" si="3"/>
        <v>X</v>
      </c>
      <c r="S234" s="77" t="s">
        <v>60</v>
      </c>
      <c r="T234" s="34" t="str">
        <f>IF('PL1(Full)'!$N234&gt;=20,"x",IF(AND('PL1(Full)'!$N234&gt;=15,'PL1(Full)'!$P234&gt;60),"x",""))</f>
        <v>x</v>
      </c>
      <c r="U234" s="34" t="str">
        <f>IF(AND('PL1(Full)'!$H234="Thôn",'PL1(Full)'!$I234&lt;75),"x",IF(AND('PL1(Full)'!$H234="Tổ",'PL1(Full)'!$I234&lt;100),"x","-"))</f>
        <v>-</v>
      </c>
      <c r="V234" s="34" t="str">
        <f>IF(AND('PL1(Full)'!$H234="Thôn",'PL1(Full)'!$I234&lt;140),"x",IF(AND('PL1(Full)'!$H234="Tổ",'PL1(Full)'!$I234&lt;210),"x","-"))</f>
        <v>x</v>
      </c>
      <c r="W234" s="40" t="str">
        <f t="shared" si="41"/>
        <v>Loại 3</v>
      </c>
      <c r="X234" s="32"/>
    </row>
    <row r="235" spans="1:24" ht="15.75" customHeight="1">
      <c r="A235" s="30">
        <f>_xlfn.AGGREGATE(4,7,A$6:A234)+1</f>
        <v>157</v>
      </c>
      <c r="B235" s="54" t="str">
        <f t="shared" si="40"/>
        <v>H. Bạch Thông</v>
      </c>
      <c r="C235" s="66" t="str">
        <f t="shared" si="46"/>
        <v>X. Lục Bình</v>
      </c>
      <c r="D235" s="32"/>
      <c r="E235" s="32" t="s">
        <v>58</v>
      </c>
      <c r="F235" s="66" t="s">
        <v>316</v>
      </c>
      <c r="G235" s="32"/>
      <c r="H235" s="32" t="str">
        <f>IF(LEFT('PL1(Full)'!$F235,4)="Thôn","Thôn","Tổ")</f>
        <v>Thôn</v>
      </c>
      <c r="I235" s="35">
        <v>55</v>
      </c>
      <c r="J235" s="35">
        <v>245</v>
      </c>
      <c r="K235" s="35">
        <v>51</v>
      </c>
      <c r="L235" s="37">
        <f t="shared" si="0"/>
        <v>92.727272727272734</v>
      </c>
      <c r="M235" s="35">
        <v>2</v>
      </c>
      <c r="N235" s="38">
        <f t="shared" si="1"/>
        <v>3.6363636363636362</v>
      </c>
      <c r="O235" s="35">
        <v>2</v>
      </c>
      <c r="P235" s="38">
        <f t="shared" si="2"/>
        <v>100</v>
      </c>
      <c r="Q235" s="76" t="s">
        <v>43</v>
      </c>
      <c r="R235" s="76" t="str">
        <f t="shared" si="3"/>
        <v>X</v>
      </c>
      <c r="S235" s="77" t="s">
        <v>60</v>
      </c>
      <c r="T235" s="34" t="str">
        <f>IF('PL1(Full)'!$N235&gt;=20,"x",IF(AND('PL1(Full)'!$N235&gt;=15,'PL1(Full)'!$P235&gt;60),"x",""))</f>
        <v/>
      </c>
      <c r="U235" s="34" t="str">
        <f>IF(AND('PL1(Full)'!$H235="Thôn",'PL1(Full)'!$I235&lt;75),"x",IF(AND('PL1(Full)'!$H235="Tổ",'PL1(Full)'!$I235&lt;100),"x","-"))</f>
        <v>x</v>
      </c>
      <c r="V235" s="34" t="str">
        <f>IF(AND('PL1(Full)'!$H235="Thôn",'PL1(Full)'!$I235&lt;140),"x",IF(AND('PL1(Full)'!$H235="Tổ",'PL1(Full)'!$I235&lt;210),"x","-"))</f>
        <v>x</v>
      </c>
      <c r="W235" s="40" t="str">
        <f t="shared" si="41"/>
        <v>Loại 3</v>
      </c>
      <c r="X235" s="32"/>
    </row>
    <row r="236" spans="1:24" ht="15.75" hidden="1" customHeight="1">
      <c r="A236" s="30">
        <f>_xlfn.AGGREGATE(4,7,A$6:A235)+1</f>
        <v>158</v>
      </c>
      <c r="B236" s="54" t="str">
        <f t="shared" si="40"/>
        <v>H. Bạch Thông</v>
      </c>
      <c r="C236" s="66" t="str">
        <f t="shared" si="46"/>
        <v>X. Lục Bình</v>
      </c>
      <c r="D236" s="32"/>
      <c r="E236" s="32" t="s">
        <v>58</v>
      </c>
      <c r="F236" s="66" t="s">
        <v>317</v>
      </c>
      <c r="G236" s="32"/>
      <c r="H236" s="32" t="str">
        <f>IF(LEFT('PL1(Full)'!$F236,4)="Thôn","Thôn","Tổ")</f>
        <v>Thôn</v>
      </c>
      <c r="I236" s="35">
        <v>109</v>
      </c>
      <c r="J236" s="35">
        <v>374</v>
      </c>
      <c r="K236" s="35">
        <v>103</v>
      </c>
      <c r="L236" s="37">
        <f t="shared" si="0"/>
        <v>94.495412844036693</v>
      </c>
      <c r="M236" s="35">
        <v>14</v>
      </c>
      <c r="N236" s="38">
        <f t="shared" si="1"/>
        <v>12.844036697247706</v>
      </c>
      <c r="O236" s="35">
        <v>14</v>
      </c>
      <c r="P236" s="38">
        <f t="shared" si="2"/>
        <v>100</v>
      </c>
      <c r="Q236" s="76" t="s">
        <v>43</v>
      </c>
      <c r="R236" s="76" t="str">
        <f t="shared" si="3"/>
        <v>X</v>
      </c>
      <c r="S236" s="77" t="s">
        <v>60</v>
      </c>
      <c r="T236" s="34" t="str">
        <f>IF('PL1(Full)'!$N236&gt;=20,"x",IF(AND('PL1(Full)'!$N236&gt;=15,'PL1(Full)'!$P236&gt;60),"x",""))</f>
        <v/>
      </c>
      <c r="U236" s="34" t="str">
        <f>IF(AND('PL1(Full)'!$H236="Thôn",'PL1(Full)'!$I236&lt;75),"x",IF(AND('PL1(Full)'!$H236="Tổ",'PL1(Full)'!$I236&lt;100),"x","-"))</f>
        <v>-</v>
      </c>
      <c r="V236" s="34" t="str">
        <f>IF(AND('PL1(Full)'!$H236="Thôn",'PL1(Full)'!$I236&lt;140),"x",IF(AND('PL1(Full)'!$H236="Tổ",'PL1(Full)'!$I236&lt;210),"x","-"))</f>
        <v>x</v>
      </c>
      <c r="W236" s="40" t="str">
        <f t="shared" si="41"/>
        <v>Loại 2</v>
      </c>
      <c r="X236" s="32"/>
    </row>
    <row r="237" spans="1:24" ht="15.75" hidden="1" customHeight="1">
      <c r="A237" s="30">
        <f>_xlfn.AGGREGATE(4,7,A$6:A236)+1</f>
        <v>158</v>
      </c>
      <c r="B237" s="54" t="str">
        <f t="shared" si="40"/>
        <v>H. Bạch Thông</v>
      </c>
      <c r="C237" s="66" t="str">
        <f t="shared" si="46"/>
        <v>X. Lục Bình</v>
      </c>
      <c r="D237" s="32"/>
      <c r="E237" s="32" t="s">
        <v>58</v>
      </c>
      <c r="F237" s="66" t="s">
        <v>318</v>
      </c>
      <c r="G237" s="32"/>
      <c r="H237" s="32" t="str">
        <f>IF(LEFT('PL1(Full)'!$F237,4)="Thôn","Thôn","Tổ")</f>
        <v>Thôn</v>
      </c>
      <c r="I237" s="35">
        <v>91</v>
      </c>
      <c r="J237" s="35">
        <v>354</v>
      </c>
      <c r="K237" s="35">
        <v>87</v>
      </c>
      <c r="L237" s="37">
        <f t="shared" si="0"/>
        <v>95.604395604395606</v>
      </c>
      <c r="M237" s="35">
        <v>5</v>
      </c>
      <c r="N237" s="38">
        <f t="shared" si="1"/>
        <v>5.4945054945054945</v>
      </c>
      <c r="O237" s="35">
        <v>5</v>
      </c>
      <c r="P237" s="38">
        <f t="shared" si="2"/>
        <v>100</v>
      </c>
      <c r="Q237" s="76" t="s">
        <v>47</v>
      </c>
      <c r="R237" s="76" t="str">
        <f t="shared" si="3"/>
        <v>X</v>
      </c>
      <c r="S237" s="77" t="s">
        <v>60</v>
      </c>
      <c r="T237" s="34" t="str">
        <f>IF('PL1(Full)'!$N237&gt;=20,"x",IF(AND('PL1(Full)'!$N237&gt;=15,'PL1(Full)'!$P237&gt;60),"x",""))</f>
        <v/>
      </c>
      <c r="U237" s="34" t="str">
        <f>IF(AND('PL1(Full)'!$H237="Thôn",'PL1(Full)'!$I237&lt;75),"x",IF(AND('PL1(Full)'!$H237="Tổ",'PL1(Full)'!$I237&lt;100),"x","-"))</f>
        <v>-</v>
      </c>
      <c r="V237" s="34" t="str">
        <f>IF(AND('PL1(Full)'!$H237="Thôn",'PL1(Full)'!$I237&lt;140),"x",IF(AND('PL1(Full)'!$H237="Tổ",'PL1(Full)'!$I237&lt;210),"x","-"))</f>
        <v>x</v>
      </c>
      <c r="W237" s="40" t="str">
        <f t="shared" si="41"/>
        <v>Loại 3</v>
      </c>
      <c r="X237" s="32"/>
    </row>
    <row r="238" spans="1:24" ht="15.75" hidden="1" customHeight="1">
      <c r="A238" s="41">
        <f>_xlfn.AGGREGATE(4,7,A$6:A237)+1</f>
        <v>158</v>
      </c>
      <c r="B238" s="55" t="str">
        <f t="shared" si="40"/>
        <v>H. Bạch Thông</v>
      </c>
      <c r="C238" s="67" t="str">
        <f t="shared" si="46"/>
        <v>X. Lục Bình</v>
      </c>
      <c r="D238" s="43"/>
      <c r="E238" s="43" t="s">
        <v>58</v>
      </c>
      <c r="F238" s="67" t="s">
        <v>319</v>
      </c>
      <c r="G238" s="43"/>
      <c r="H238" s="43" t="str">
        <f>IF(LEFT('PL1(Full)'!$F238,4)="Thôn","Thôn","Tổ")</f>
        <v>Thôn</v>
      </c>
      <c r="I238" s="45">
        <v>83</v>
      </c>
      <c r="J238" s="45">
        <v>330</v>
      </c>
      <c r="K238" s="45">
        <v>83</v>
      </c>
      <c r="L238" s="47">
        <f t="shared" si="0"/>
        <v>100</v>
      </c>
      <c r="M238" s="45">
        <v>9</v>
      </c>
      <c r="N238" s="48">
        <f t="shared" si="1"/>
        <v>10.843373493975903</v>
      </c>
      <c r="O238" s="45">
        <v>9</v>
      </c>
      <c r="P238" s="48">
        <f t="shared" si="2"/>
        <v>100</v>
      </c>
      <c r="Q238" s="84" t="s">
        <v>43</v>
      </c>
      <c r="R238" s="84" t="str">
        <f t="shared" si="3"/>
        <v>X</v>
      </c>
      <c r="S238" s="83" t="s">
        <v>60</v>
      </c>
      <c r="T238" s="50" t="str">
        <f>IF('PL1(Full)'!$N238&gt;=20,"x",IF(AND('PL1(Full)'!$N238&gt;=15,'PL1(Full)'!$P238&gt;60),"x",""))</f>
        <v/>
      </c>
      <c r="U238" s="50" t="str">
        <f>IF(AND('PL1(Full)'!$H238="Thôn",'PL1(Full)'!$I238&lt;75),"x",IF(AND('PL1(Full)'!$H238="Tổ",'PL1(Full)'!$I238&lt;100),"x","-"))</f>
        <v>-</v>
      </c>
      <c r="V238" s="34" t="str">
        <f>IF(AND('PL1(Full)'!$H238="Thôn",'PL1(Full)'!$I238&lt;140),"x",IF(AND('PL1(Full)'!$H238="Tổ",'PL1(Full)'!$I238&lt;210),"x","-"))</f>
        <v>x</v>
      </c>
      <c r="W238" s="51" t="str">
        <f t="shared" si="41"/>
        <v>Loại 3</v>
      </c>
      <c r="X238" s="43"/>
    </row>
    <row r="239" spans="1:24" ht="15.75" hidden="1" customHeight="1">
      <c r="A239" s="52">
        <f>_xlfn.AGGREGATE(4,7,A$6:A238)+1</f>
        <v>158</v>
      </c>
      <c r="B239" s="53" t="str">
        <f t="shared" si="40"/>
        <v>H. Bạch Thông</v>
      </c>
      <c r="C239" s="14" t="s">
        <v>320</v>
      </c>
      <c r="D239" s="25" t="s">
        <v>58</v>
      </c>
      <c r="E239" s="25" t="s">
        <v>58</v>
      </c>
      <c r="F239" s="14" t="s">
        <v>321</v>
      </c>
      <c r="G239" s="25"/>
      <c r="H239" s="25" t="str">
        <f>IF(LEFT('PL1(Full)'!$F239,4)="Thôn","Thôn","Tổ")</f>
        <v>Thôn</v>
      </c>
      <c r="I239" s="20">
        <v>87</v>
      </c>
      <c r="J239" s="20">
        <v>394</v>
      </c>
      <c r="K239" s="20">
        <v>87</v>
      </c>
      <c r="L239" s="21">
        <f t="shared" si="0"/>
        <v>100</v>
      </c>
      <c r="M239" s="20">
        <v>21</v>
      </c>
      <c r="N239" s="22">
        <f t="shared" si="1"/>
        <v>24.137931034482758</v>
      </c>
      <c r="O239" s="20">
        <v>21</v>
      </c>
      <c r="P239" s="22">
        <f t="shared" si="2"/>
        <v>100</v>
      </c>
      <c r="Q239" s="72" t="s">
        <v>56</v>
      </c>
      <c r="R239" s="72" t="str">
        <f t="shared" si="3"/>
        <v>X</v>
      </c>
      <c r="S239" s="73" t="s">
        <v>60</v>
      </c>
      <c r="T239" s="26" t="str">
        <f>IF('PL1(Full)'!$N239&gt;=20,"x",IF(AND('PL1(Full)'!$N239&gt;=15,'PL1(Full)'!$P239&gt;60),"x",""))</f>
        <v>x</v>
      </c>
      <c r="U239" s="27" t="str">
        <f>IF(AND('PL1(Full)'!$H239="Thôn",'PL1(Full)'!$I239&lt;75),"x",IF(AND('PL1(Full)'!$H239="Tổ",'PL1(Full)'!$I239&lt;100),"x","-"))</f>
        <v>-</v>
      </c>
      <c r="V239" s="28" t="str">
        <f>IF(AND('PL1(Full)'!$H239="Thôn",'PL1(Full)'!$I239&lt;140),"x",IF(AND('PL1(Full)'!$H239="Tổ",'PL1(Full)'!$I239&lt;210),"x","-"))</f>
        <v>x</v>
      </c>
      <c r="W239" s="29" t="str">
        <f t="shared" si="41"/>
        <v>Loại 3</v>
      </c>
      <c r="X239" s="25"/>
    </row>
    <row r="240" spans="1:24" ht="15.75" hidden="1" customHeight="1">
      <c r="A240" s="30">
        <f>_xlfn.AGGREGATE(4,7,A$6:A239)+1</f>
        <v>158</v>
      </c>
      <c r="B240" s="54" t="str">
        <f t="shared" si="40"/>
        <v>H. Bạch Thông</v>
      </c>
      <c r="C240" s="66" t="str">
        <f t="shared" ref="C240:C245" si="47">C239</f>
        <v>X. Mỹ Thanh</v>
      </c>
      <c r="D240" s="34"/>
      <c r="E240" s="34" t="s">
        <v>58</v>
      </c>
      <c r="F240" s="31" t="s">
        <v>322</v>
      </c>
      <c r="G240" s="34" t="s">
        <v>40</v>
      </c>
      <c r="H240" s="34" t="str">
        <f>IF(LEFT('PL1(Full)'!$F240,4)="Thôn","Thôn","Tổ")</f>
        <v>Thôn</v>
      </c>
      <c r="I240" s="36">
        <v>126</v>
      </c>
      <c r="J240" s="36">
        <v>496</v>
      </c>
      <c r="K240" s="36">
        <v>106</v>
      </c>
      <c r="L240" s="37">
        <f t="shared" si="0"/>
        <v>84.126984126984127</v>
      </c>
      <c r="M240" s="36">
        <v>18</v>
      </c>
      <c r="N240" s="38">
        <f t="shared" si="1"/>
        <v>14.285714285714286</v>
      </c>
      <c r="O240" s="36">
        <v>13</v>
      </c>
      <c r="P240" s="38">
        <f t="shared" si="2"/>
        <v>72.222222222222229</v>
      </c>
      <c r="Q240" s="76" t="s">
        <v>56</v>
      </c>
      <c r="R240" s="76" t="str">
        <f t="shared" si="3"/>
        <v>X</v>
      </c>
      <c r="S240" s="77" t="s">
        <v>60</v>
      </c>
      <c r="T240" s="34" t="str">
        <f>IF('PL1(Full)'!$N240&gt;=20,"x",IF(AND('PL1(Full)'!$N240&gt;=15,'PL1(Full)'!$P240&gt;60),"x",""))</f>
        <v/>
      </c>
      <c r="U240" s="34" t="str">
        <f>IF(AND('PL1(Full)'!$H240="Thôn",'PL1(Full)'!$I240&lt;75),"x",IF(AND('PL1(Full)'!$H240="Tổ",'PL1(Full)'!$I240&lt;100),"x","-"))</f>
        <v>-</v>
      </c>
      <c r="V240" s="34" t="str">
        <f>IF(AND('PL1(Full)'!$H240="Thôn",'PL1(Full)'!$I240&lt;140),"x",IF(AND('PL1(Full)'!$H240="Tổ",'PL1(Full)'!$I240&lt;210),"x","-"))</f>
        <v>x</v>
      </c>
      <c r="W240" s="40" t="str">
        <f t="shared" si="41"/>
        <v>Loại 2</v>
      </c>
      <c r="X240" s="34"/>
    </row>
    <row r="241" spans="1:24" ht="15.75" customHeight="1">
      <c r="A241" s="30">
        <f>_xlfn.AGGREGATE(4,7,A$6:A240)+1</f>
        <v>158</v>
      </c>
      <c r="B241" s="54" t="str">
        <f t="shared" si="40"/>
        <v>H. Bạch Thông</v>
      </c>
      <c r="C241" s="66" t="str">
        <f t="shared" si="47"/>
        <v>X. Mỹ Thanh</v>
      </c>
      <c r="D241" s="34"/>
      <c r="E241" s="34" t="s">
        <v>58</v>
      </c>
      <c r="F241" s="31" t="s">
        <v>323</v>
      </c>
      <c r="G241" s="34"/>
      <c r="H241" s="34" t="str">
        <f>IF(LEFT('PL1(Full)'!$F241,4)="Thôn","Thôn","Tổ")</f>
        <v>Thôn</v>
      </c>
      <c r="I241" s="36">
        <v>25</v>
      </c>
      <c r="J241" s="36">
        <v>112</v>
      </c>
      <c r="K241" s="36">
        <v>24</v>
      </c>
      <c r="L241" s="37">
        <f t="shared" si="0"/>
        <v>96</v>
      </c>
      <c r="M241" s="36">
        <v>17</v>
      </c>
      <c r="N241" s="38">
        <f t="shared" si="1"/>
        <v>68</v>
      </c>
      <c r="O241" s="36">
        <v>17</v>
      </c>
      <c r="P241" s="38">
        <f t="shared" si="2"/>
        <v>100</v>
      </c>
      <c r="Q241" s="76" t="s">
        <v>82</v>
      </c>
      <c r="R241" s="76" t="str">
        <f t="shared" si="3"/>
        <v>X</v>
      </c>
      <c r="S241" s="77" t="s">
        <v>60</v>
      </c>
      <c r="T241" s="34" t="str">
        <f>IF('PL1(Full)'!$N241&gt;=20,"x",IF(AND('PL1(Full)'!$N241&gt;=15,'PL1(Full)'!$P241&gt;60),"x",""))</f>
        <v>x</v>
      </c>
      <c r="U241" s="34" t="str">
        <f>IF(AND('PL1(Full)'!$H241="Thôn",'PL1(Full)'!$I241&lt;75),"x",IF(AND('PL1(Full)'!$H241="Tổ",'PL1(Full)'!$I241&lt;100),"x","-"))</f>
        <v>x</v>
      </c>
      <c r="V241" s="34" t="str">
        <f>IF(AND('PL1(Full)'!$H241="Thôn",'PL1(Full)'!$I241&lt;140),"x",IF(AND('PL1(Full)'!$H241="Tổ",'PL1(Full)'!$I241&lt;210),"x","-"))</f>
        <v>x</v>
      </c>
      <c r="W241" s="40" t="str">
        <f t="shared" si="41"/>
        <v>Loại 3</v>
      </c>
      <c r="X241" s="34"/>
    </row>
    <row r="242" spans="1:24" ht="15.75" hidden="1" customHeight="1">
      <c r="A242" s="30">
        <f>_xlfn.AGGREGATE(4,7,A$6:A241)+1</f>
        <v>159</v>
      </c>
      <c r="B242" s="54" t="str">
        <f t="shared" si="40"/>
        <v>H. Bạch Thông</v>
      </c>
      <c r="C242" s="66" t="str">
        <f t="shared" si="47"/>
        <v>X. Mỹ Thanh</v>
      </c>
      <c r="D242" s="34"/>
      <c r="E242" s="34" t="s">
        <v>58</v>
      </c>
      <c r="F242" s="31" t="s">
        <v>324</v>
      </c>
      <c r="G242" s="34" t="s">
        <v>40</v>
      </c>
      <c r="H242" s="34" t="str">
        <f>IF(LEFT('PL1(Full)'!$F242,4)="Thôn","Thôn","Tổ")</f>
        <v>Thôn</v>
      </c>
      <c r="I242" s="36">
        <v>100</v>
      </c>
      <c r="J242" s="36">
        <v>420</v>
      </c>
      <c r="K242" s="36">
        <v>100</v>
      </c>
      <c r="L242" s="37">
        <f t="shared" si="0"/>
        <v>100</v>
      </c>
      <c r="M242" s="36">
        <v>36</v>
      </c>
      <c r="N242" s="38">
        <f t="shared" si="1"/>
        <v>36</v>
      </c>
      <c r="O242" s="36">
        <v>36</v>
      </c>
      <c r="P242" s="38">
        <f t="shared" si="2"/>
        <v>100</v>
      </c>
      <c r="Q242" s="76" t="s">
        <v>56</v>
      </c>
      <c r="R242" s="76" t="str">
        <f t="shared" si="3"/>
        <v>X</v>
      </c>
      <c r="S242" s="77" t="s">
        <v>60</v>
      </c>
      <c r="T242" s="34" t="str">
        <f>IF('PL1(Full)'!$N242&gt;=20,"x",IF(AND('PL1(Full)'!$N242&gt;=15,'PL1(Full)'!$P242&gt;60),"x",""))</f>
        <v>x</v>
      </c>
      <c r="U242" s="34" t="str">
        <f>IF(AND('PL1(Full)'!$H242="Thôn",'PL1(Full)'!$I242&lt;75),"x",IF(AND('PL1(Full)'!$H242="Tổ",'PL1(Full)'!$I242&lt;100),"x","-"))</f>
        <v>-</v>
      </c>
      <c r="V242" s="34" t="str">
        <f>IF(AND('PL1(Full)'!$H242="Thôn",'PL1(Full)'!$I242&lt;140),"x",IF(AND('PL1(Full)'!$H242="Tổ",'PL1(Full)'!$I242&lt;210),"x","-"))</f>
        <v>x</v>
      </c>
      <c r="W242" s="40" t="str">
        <f t="shared" si="41"/>
        <v>Loại 2</v>
      </c>
      <c r="X242" s="34"/>
    </row>
    <row r="243" spans="1:24" ht="15.75" customHeight="1">
      <c r="A243" s="30">
        <f>_xlfn.AGGREGATE(4,7,A$6:A242)+1</f>
        <v>159</v>
      </c>
      <c r="B243" s="54" t="str">
        <f t="shared" si="40"/>
        <v>H. Bạch Thông</v>
      </c>
      <c r="C243" s="66" t="str">
        <f t="shared" si="47"/>
        <v>X. Mỹ Thanh</v>
      </c>
      <c r="D243" s="34"/>
      <c r="E243" s="34" t="s">
        <v>58</v>
      </c>
      <c r="F243" s="31" t="s">
        <v>119</v>
      </c>
      <c r="G243" s="34"/>
      <c r="H243" s="34" t="str">
        <f>IF(LEFT('PL1(Full)'!$F243,4)="Thôn","Thôn","Tổ")</f>
        <v>Thôn</v>
      </c>
      <c r="I243" s="36">
        <v>66</v>
      </c>
      <c r="J243" s="36">
        <v>256</v>
      </c>
      <c r="K243" s="36">
        <v>66</v>
      </c>
      <c r="L243" s="37">
        <f t="shared" si="0"/>
        <v>100</v>
      </c>
      <c r="M243" s="36">
        <v>18</v>
      </c>
      <c r="N243" s="38">
        <f t="shared" si="1"/>
        <v>27.272727272727273</v>
      </c>
      <c r="O243" s="36">
        <v>18</v>
      </c>
      <c r="P243" s="38">
        <f t="shared" si="2"/>
        <v>100</v>
      </c>
      <c r="Q243" s="76" t="s">
        <v>56</v>
      </c>
      <c r="R243" s="76" t="str">
        <f t="shared" si="3"/>
        <v>X</v>
      </c>
      <c r="S243" s="77" t="s">
        <v>60</v>
      </c>
      <c r="T243" s="34" t="str">
        <f>IF('PL1(Full)'!$N243&gt;=20,"x",IF(AND('PL1(Full)'!$N243&gt;=15,'PL1(Full)'!$P243&gt;60),"x",""))</f>
        <v>x</v>
      </c>
      <c r="U243" s="34" t="str">
        <f>IF(AND('PL1(Full)'!$H243="Thôn",'PL1(Full)'!$I243&lt;75),"x",IF(AND('PL1(Full)'!$H243="Tổ",'PL1(Full)'!$I243&lt;100),"x","-"))</f>
        <v>x</v>
      </c>
      <c r="V243" s="34" t="str">
        <f>IF(AND('PL1(Full)'!$H243="Thôn",'PL1(Full)'!$I243&lt;140),"x",IF(AND('PL1(Full)'!$H243="Tổ",'PL1(Full)'!$I243&lt;210),"x","-"))</f>
        <v>x</v>
      </c>
      <c r="W243" s="40" t="str">
        <f t="shared" si="41"/>
        <v>Loại 3</v>
      </c>
      <c r="X243" s="34"/>
    </row>
    <row r="244" spans="1:24" ht="15.75" hidden="1" customHeight="1">
      <c r="A244" s="30">
        <f>_xlfn.AGGREGATE(4,7,A$6:A243)+1</f>
        <v>160</v>
      </c>
      <c r="B244" s="54" t="str">
        <f t="shared" si="40"/>
        <v>H. Bạch Thông</v>
      </c>
      <c r="C244" s="66" t="str">
        <f t="shared" si="47"/>
        <v>X. Mỹ Thanh</v>
      </c>
      <c r="D244" s="34"/>
      <c r="E244" s="34" t="s">
        <v>58</v>
      </c>
      <c r="F244" s="31" t="s">
        <v>325</v>
      </c>
      <c r="G244" s="34"/>
      <c r="H244" s="34" t="str">
        <f>IF(LEFT('PL1(Full)'!$F244,4)="Thôn","Thôn","Tổ")</f>
        <v>Thôn</v>
      </c>
      <c r="I244" s="36">
        <v>109</v>
      </c>
      <c r="J244" s="36">
        <v>460</v>
      </c>
      <c r="K244" s="36">
        <v>107</v>
      </c>
      <c r="L244" s="37">
        <f t="shared" si="0"/>
        <v>98.165137614678898</v>
      </c>
      <c r="M244" s="36">
        <v>23</v>
      </c>
      <c r="N244" s="38">
        <f t="shared" si="1"/>
        <v>21.100917431192659</v>
      </c>
      <c r="O244" s="36">
        <v>23</v>
      </c>
      <c r="P244" s="38">
        <f t="shared" si="2"/>
        <v>100</v>
      </c>
      <c r="Q244" s="76" t="s">
        <v>49</v>
      </c>
      <c r="R244" s="76" t="str">
        <f t="shared" si="3"/>
        <v>X</v>
      </c>
      <c r="S244" s="77" t="s">
        <v>60</v>
      </c>
      <c r="T244" s="34" t="str">
        <f>IF('PL1(Full)'!$N244&gt;=20,"x",IF(AND('PL1(Full)'!$N244&gt;=15,'PL1(Full)'!$P244&gt;60),"x",""))</f>
        <v>x</v>
      </c>
      <c r="U244" s="34" t="str">
        <f>IF(AND('PL1(Full)'!$H244="Thôn",'PL1(Full)'!$I244&lt;75),"x",IF(AND('PL1(Full)'!$H244="Tổ",'PL1(Full)'!$I244&lt;100),"x","-"))</f>
        <v>-</v>
      </c>
      <c r="V244" s="34" t="str">
        <f>IF(AND('PL1(Full)'!$H244="Thôn",'PL1(Full)'!$I244&lt;140),"x",IF(AND('PL1(Full)'!$H244="Tổ",'PL1(Full)'!$I244&lt;210),"x","-"))</f>
        <v>x</v>
      </c>
      <c r="W244" s="40" t="str">
        <f t="shared" si="41"/>
        <v>Loại 2</v>
      </c>
      <c r="X244" s="34"/>
    </row>
    <row r="245" spans="1:24" ht="15.75" customHeight="1">
      <c r="A245" s="41">
        <f>_xlfn.AGGREGATE(4,7,A$6:A244)+1</f>
        <v>160</v>
      </c>
      <c r="B245" s="55" t="str">
        <f t="shared" si="40"/>
        <v>H. Bạch Thông</v>
      </c>
      <c r="C245" s="67" t="str">
        <f t="shared" si="47"/>
        <v>X. Mỹ Thanh</v>
      </c>
      <c r="D245" s="50"/>
      <c r="E245" s="50" t="s">
        <v>58</v>
      </c>
      <c r="F245" s="42" t="s">
        <v>326</v>
      </c>
      <c r="G245" s="50"/>
      <c r="H245" s="50" t="str">
        <f>IF(LEFT('PL1(Full)'!$F245,4)="Thôn","Thôn","Tổ")</f>
        <v>Thôn</v>
      </c>
      <c r="I245" s="46">
        <v>20</v>
      </c>
      <c r="J245" s="46">
        <v>122</v>
      </c>
      <c r="K245" s="46">
        <v>27</v>
      </c>
      <c r="L245" s="47">
        <f t="shared" si="0"/>
        <v>135</v>
      </c>
      <c r="M245" s="46">
        <v>22</v>
      </c>
      <c r="N245" s="48">
        <f t="shared" si="1"/>
        <v>110</v>
      </c>
      <c r="O245" s="46">
        <v>22</v>
      </c>
      <c r="P245" s="48">
        <f t="shared" si="2"/>
        <v>100</v>
      </c>
      <c r="Q245" s="78" t="s">
        <v>82</v>
      </c>
      <c r="R245" s="78" t="str">
        <f t="shared" si="3"/>
        <v>X</v>
      </c>
      <c r="S245" s="79" t="s">
        <v>60</v>
      </c>
      <c r="T245" s="50" t="str">
        <f>IF('PL1(Full)'!$N245&gt;=20,"x",IF(AND('PL1(Full)'!$N245&gt;=15,'PL1(Full)'!$P245&gt;60),"x",""))</f>
        <v>x</v>
      </c>
      <c r="U245" s="50" t="str">
        <f>IF(AND('PL1(Full)'!$H245="Thôn",'PL1(Full)'!$I245&lt;75),"x",IF(AND('PL1(Full)'!$H245="Tổ",'PL1(Full)'!$I245&lt;100),"x","-"))</f>
        <v>x</v>
      </c>
      <c r="V245" s="34" t="str">
        <f>IF(AND('PL1(Full)'!$H245="Thôn",'PL1(Full)'!$I245&lt;140),"x",IF(AND('PL1(Full)'!$H245="Tổ",'PL1(Full)'!$I245&lt;210),"x","-"))</f>
        <v>x</v>
      </c>
      <c r="W245" s="51" t="str">
        <f t="shared" si="41"/>
        <v>Loại 3</v>
      </c>
      <c r="X245" s="50"/>
    </row>
    <row r="246" spans="1:24" ht="15.75" customHeight="1">
      <c r="A246" s="52">
        <f>_xlfn.AGGREGATE(4,7,A$6:A245)+1</f>
        <v>161</v>
      </c>
      <c r="B246" s="53" t="str">
        <f t="shared" si="40"/>
        <v>H. Bạch Thông</v>
      </c>
      <c r="C246" s="14" t="s">
        <v>327</v>
      </c>
      <c r="D246" s="15" t="s">
        <v>58</v>
      </c>
      <c r="E246" s="16" t="s">
        <v>58</v>
      </c>
      <c r="F246" s="65" t="s">
        <v>328</v>
      </c>
      <c r="G246" s="18"/>
      <c r="H246" s="18" t="str">
        <f>IF(LEFT('PL1(Full)'!$F246,4)="Thôn","Thôn","Tổ")</f>
        <v>Thôn</v>
      </c>
      <c r="I246" s="19">
        <v>27</v>
      </c>
      <c r="J246" s="19">
        <v>113</v>
      </c>
      <c r="K246" s="19">
        <v>27</v>
      </c>
      <c r="L246" s="21">
        <f t="shared" si="0"/>
        <v>100</v>
      </c>
      <c r="M246" s="19">
        <v>4</v>
      </c>
      <c r="N246" s="22">
        <f t="shared" si="1"/>
        <v>14.814814814814815</v>
      </c>
      <c r="O246" s="19">
        <v>4</v>
      </c>
      <c r="P246" s="22">
        <f t="shared" si="2"/>
        <v>100</v>
      </c>
      <c r="Q246" s="87" t="s">
        <v>56</v>
      </c>
      <c r="R246" s="72" t="str">
        <f t="shared" si="3"/>
        <v>X</v>
      </c>
      <c r="S246" s="73" t="s">
        <v>60</v>
      </c>
      <c r="T246" s="26" t="str">
        <f>IF('PL1(Full)'!$N246&gt;=20,"x",IF(AND('PL1(Full)'!$N246&gt;=15,'PL1(Full)'!$P246&gt;60),"x",""))</f>
        <v/>
      </c>
      <c r="U246" s="27" t="str">
        <f>IF(AND('PL1(Full)'!$H246="Thôn",'PL1(Full)'!$I246&lt;75),"x",IF(AND('PL1(Full)'!$H246="Tổ",'PL1(Full)'!$I246&lt;100),"x","-"))</f>
        <v>x</v>
      </c>
      <c r="V246" s="28" t="str">
        <f>IF(AND('PL1(Full)'!$H246="Thôn",'PL1(Full)'!$I246&lt;140),"x",IF(AND('PL1(Full)'!$H246="Tổ",'PL1(Full)'!$I246&lt;210),"x","-"))</f>
        <v>x</v>
      </c>
      <c r="W246" s="29" t="str">
        <f t="shared" si="41"/>
        <v>Loại 3</v>
      </c>
      <c r="X246" s="18"/>
    </row>
    <row r="247" spans="1:24" ht="15.75" customHeight="1">
      <c r="A247" s="30">
        <f>_xlfn.AGGREGATE(4,7,A$6:A246)+1</f>
        <v>162</v>
      </c>
      <c r="B247" s="54" t="str">
        <f t="shared" si="40"/>
        <v>H. Bạch Thông</v>
      </c>
      <c r="C247" s="66" t="str">
        <f t="shared" ref="C247:C255" si="48">C246</f>
        <v>X. Nguyên Phúc</v>
      </c>
      <c r="D247" s="32"/>
      <c r="E247" s="32" t="s">
        <v>58</v>
      </c>
      <c r="F247" s="66" t="s">
        <v>329</v>
      </c>
      <c r="G247" s="32"/>
      <c r="H247" s="32" t="str">
        <f>IF(LEFT('PL1(Full)'!$F247,4)="Thôn","Thôn","Tổ")</f>
        <v>Thôn</v>
      </c>
      <c r="I247" s="35">
        <v>18</v>
      </c>
      <c r="J247" s="35">
        <v>69</v>
      </c>
      <c r="K247" s="35">
        <v>18</v>
      </c>
      <c r="L247" s="37">
        <f t="shared" si="0"/>
        <v>100</v>
      </c>
      <c r="M247" s="35">
        <v>5</v>
      </c>
      <c r="N247" s="38">
        <f t="shared" si="1"/>
        <v>27.777777777777779</v>
      </c>
      <c r="O247" s="35">
        <v>5</v>
      </c>
      <c r="P247" s="38">
        <f t="shared" si="2"/>
        <v>100</v>
      </c>
      <c r="Q247" s="88" t="s">
        <v>330</v>
      </c>
      <c r="R247" s="76" t="str">
        <f t="shared" si="3"/>
        <v>X</v>
      </c>
      <c r="S247" s="77" t="s">
        <v>60</v>
      </c>
      <c r="T247" s="34" t="str">
        <f>IF('PL1(Full)'!$N247&gt;=20,"x",IF(AND('PL1(Full)'!$N247&gt;=15,'PL1(Full)'!$P247&gt;60),"x",""))</f>
        <v>x</v>
      </c>
      <c r="U247" s="34" t="str">
        <f>IF(AND('PL1(Full)'!$H247="Thôn",'PL1(Full)'!$I247&lt;75),"x",IF(AND('PL1(Full)'!$H247="Tổ",'PL1(Full)'!$I247&lt;100),"x","-"))</f>
        <v>x</v>
      </c>
      <c r="V247" s="34" t="str">
        <f>IF(AND('PL1(Full)'!$H247="Thôn",'PL1(Full)'!$I247&lt;140),"x",IF(AND('PL1(Full)'!$H247="Tổ",'PL1(Full)'!$I247&lt;210),"x","-"))</f>
        <v>x</v>
      </c>
      <c r="W247" s="40" t="str">
        <f t="shared" si="41"/>
        <v>Loại 3</v>
      </c>
      <c r="X247" s="32"/>
    </row>
    <row r="248" spans="1:24" ht="15.75" customHeight="1">
      <c r="A248" s="30">
        <f>_xlfn.AGGREGATE(4,7,A$6:A247)+1</f>
        <v>163</v>
      </c>
      <c r="B248" s="54" t="str">
        <f t="shared" si="40"/>
        <v>H. Bạch Thông</v>
      </c>
      <c r="C248" s="66" t="str">
        <f t="shared" si="48"/>
        <v>X. Nguyên Phúc</v>
      </c>
      <c r="D248" s="32"/>
      <c r="E248" s="32" t="s">
        <v>58</v>
      </c>
      <c r="F248" s="66" t="s">
        <v>119</v>
      </c>
      <c r="G248" s="32"/>
      <c r="H248" s="32" t="str">
        <f>IF(LEFT('PL1(Full)'!$F248,4)="Thôn","Thôn","Tổ")</f>
        <v>Thôn</v>
      </c>
      <c r="I248" s="35">
        <v>39</v>
      </c>
      <c r="J248" s="35">
        <v>157</v>
      </c>
      <c r="K248" s="35">
        <v>29</v>
      </c>
      <c r="L248" s="37">
        <f t="shared" si="0"/>
        <v>74.358974358974365</v>
      </c>
      <c r="M248" s="35">
        <v>3</v>
      </c>
      <c r="N248" s="38">
        <f t="shared" si="1"/>
        <v>7.6923076923076925</v>
      </c>
      <c r="O248" s="35">
        <v>3</v>
      </c>
      <c r="P248" s="38">
        <f t="shared" si="2"/>
        <v>100</v>
      </c>
      <c r="Q248" s="88" t="s">
        <v>63</v>
      </c>
      <c r="R248" s="76" t="str">
        <f t="shared" si="3"/>
        <v>X</v>
      </c>
      <c r="S248" s="77" t="s">
        <v>60</v>
      </c>
      <c r="T248" s="34" t="str">
        <f>IF('PL1(Full)'!$N248&gt;=20,"x",IF(AND('PL1(Full)'!$N248&gt;=15,'PL1(Full)'!$P248&gt;60),"x",""))</f>
        <v/>
      </c>
      <c r="U248" s="34" t="str">
        <f>IF(AND('PL1(Full)'!$H248="Thôn",'PL1(Full)'!$I248&lt;75),"x",IF(AND('PL1(Full)'!$H248="Tổ",'PL1(Full)'!$I248&lt;100),"x","-"))</f>
        <v>x</v>
      </c>
      <c r="V248" s="34" t="str">
        <f>IF(AND('PL1(Full)'!$H248="Thôn",'PL1(Full)'!$I248&lt;140),"x",IF(AND('PL1(Full)'!$H248="Tổ",'PL1(Full)'!$I248&lt;210),"x","-"))</f>
        <v>x</v>
      </c>
      <c r="W248" s="40" t="str">
        <f t="shared" si="41"/>
        <v>Loại 3</v>
      </c>
      <c r="X248" s="32"/>
    </row>
    <row r="249" spans="1:24" ht="15.75" hidden="1" customHeight="1">
      <c r="A249" s="30">
        <f>_xlfn.AGGREGATE(4,7,A$6:A248)+1</f>
        <v>164</v>
      </c>
      <c r="B249" s="54" t="str">
        <f t="shared" si="40"/>
        <v>H. Bạch Thông</v>
      </c>
      <c r="C249" s="66" t="str">
        <f t="shared" si="48"/>
        <v>X. Nguyên Phúc</v>
      </c>
      <c r="D249" s="32"/>
      <c r="E249" s="32" t="s">
        <v>58</v>
      </c>
      <c r="F249" s="66" t="s">
        <v>331</v>
      </c>
      <c r="G249" s="32"/>
      <c r="H249" s="32" t="str">
        <f>IF(LEFT('PL1(Full)'!$F249,4)="Thôn","Thôn","Tổ")</f>
        <v>Thôn</v>
      </c>
      <c r="I249" s="35">
        <v>96</v>
      </c>
      <c r="J249" s="35">
        <v>413</v>
      </c>
      <c r="K249" s="35">
        <v>80</v>
      </c>
      <c r="L249" s="37">
        <f t="shared" si="0"/>
        <v>83.333333333333329</v>
      </c>
      <c r="M249" s="35">
        <v>9</v>
      </c>
      <c r="N249" s="38">
        <f t="shared" si="1"/>
        <v>9.375</v>
      </c>
      <c r="O249" s="35">
        <v>7</v>
      </c>
      <c r="P249" s="38">
        <f t="shared" si="2"/>
        <v>77.777777777777771</v>
      </c>
      <c r="Q249" s="88" t="s">
        <v>82</v>
      </c>
      <c r="R249" s="76" t="str">
        <f t="shared" si="3"/>
        <v>X</v>
      </c>
      <c r="S249" s="77" t="s">
        <v>60</v>
      </c>
      <c r="T249" s="34" t="str">
        <f>IF('PL1(Full)'!$N249&gt;=20,"x",IF(AND('PL1(Full)'!$N249&gt;=15,'PL1(Full)'!$P249&gt;60),"x",""))</f>
        <v/>
      </c>
      <c r="U249" s="34" t="str">
        <f>IF(AND('PL1(Full)'!$H249="Thôn",'PL1(Full)'!$I249&lt;75),"x",IF(AND('PL1(Full)'!$H249="Tổ",'PL1(Full)'!$I249&lt;100),"x","-"))</f>
        <v>-</v>
      </c>
      <c r="V249" s="34" t="str">
        <f>IF(AND('PL1(Full)'!$H249="Thôn",'PL1(Full)'!$I249&lt;140),"x",IF(AND('PL1(Full)'!$H249="Tổ",'PL1(Full)'!$I249&lt;210),"x","-"))</f>
        <v>x</v>
      </c>
      <c r="W249" s="40" t="str">
        <f t="shared" si="41"/>
        <v>Loại 3</v>
      </c>
      <c r="X249" s="32"/>
    </row>
    <row r="250" spans="1:24" ht="15.75" customHeight="1">
      <c r="A250" s="30">
        <f>_xlfn.AGGREGATE(4,7,A$6:A249)+1</f>
        <v>164</v>
      </c>
      <c r="B250" s="54" t="str">
        <f t="shared" si="40"/>
        <v>H. Bạch Thông</v>
      </c>
      <c r="C250" s="66" t="str">
        <f t="shared" si="48"/>
        <v>X. Nguyên Phúc</v>
      </c>
      <c r="D250" s="32"/>
      <c r="E250" s="32" t="s">
        <v>58</v>
      </c>
      <c r="F250" s="66" t="s">
        <v>332</v>
      </c>
      <c r="G250" s="32"/>
      <c r="H250" s="32" t="str">
        <f>IF(LEFT('PL1(Full)'!$F250,4)="Thôn","Thôn","Tổ")</f>
        <v>Thôn</v>
      </c>
      <c r="I250" s="35">
        <v>33</v>
      </c>
      <c r="J250" s="35">
        <v>128</v>
      </c>
      <c r="K250" s="35">
        <v>33</v>
      </c>
      <c r="L250" s="37">
        <f t="shared" si="0"/>
        <v>100</v>
      </c>
      <c r="M250" s="35">
        <v>15</v>
      </c>
      <c r="N250" s="38">
        <f t="shared" si="1"/>
        <v>45.454545454545453</v>
      </c>
      <c r="O250" s="35">
        <v>15</v>
      </c>
      <c r="P250" s="38">
        <f t="shared" si="2"/>
        <v>100</v>
      </c>
      <c r="Q250" s="88" t="s">
        <v>333</v>
      </c>
      <c r="R250" s="76" t="str">
        <f t="shared" si="3"/>
        <v>T</v>
      </c>
      <c r="S250" s="77" t="s">
        <v>60</v>
      </c>
      <c r="T250" s="34" t="str">
        <f>IF('PL1(Full)'!$N250&gt;=20,"x",IF(AND('PL1(Full)'!$N250&gt;=15,'PL1(Full)'!$P250&gt;60),"x",""))</f>
        <v>x</v>
      </c>
      <c r="U250" s="34" t="str">
        <f>IF(AND('PL1(Full)'!$H250="Thôn",'PL1(Full)'!$I250&lt;75),"x",IF(AND('PL1(Full)'!$H250="Tổ",'PL1(Full)'!$I250&lt;100),"x","-"))</f>
        <v>x</v>
      </c>
      <c r="V250" s="34" t="str">
        <f>IF(AND('PL1(Full)'!$H250="Thôn",'PL1(Full)'!$I250&lt;140),"x",IF(AND('PL1(Full)'!$H250="Tổ",'PL1(Full)'!$I250&lt;210),"x","-"))</f>
        <v>x</v>
      </c>
      <c r="W250" s="40" t="str">
        <f t="shared" si="41"/>
        <v>Loại 3</v>
      </c>
      <c r="X250" s="32"/>
    </row>
    <row r="251" spans="1:24" ht="15.75" hidden="1" customHeight="1">
      <c r="A251" s="30">
        <f>_xlfn.AGGREGATE(4,7,A$6:A250)+1</f>
        <v>165</v>
      </c>
      <c r="B251" s="54" t="str">
        <f t="shared" si="40"/>
        <v>H. Bạch Thông</v>
      </c>
      <c r="C251" s="66" t="str">
        <f t="shared" si="48"/>
        <v>X. Nguyên Phúc</v>
      </c>
      <c r="D251" s="32"/>
      <c r="E251" s="32" t="s">
        <v>58</v>
      </c>
      <c r="F251" s="66" t="s">
        <v>334</v>
      </c>
      <c r="G251" s="32"/>
      <c r="H251" s="32" t="str">
        <f>IF(LEFT('PL1(Full)'!$F251,4)="Thôn","Thôn","Tổ")</f>
        <v>Thôn</v>
      </c>
      <c r="I251" s="35">
        <v>97</v>
      </c>
      <c r="J251" s="35">
        <v>409</v>
      </c>
      <c r="K251" s="35">
        <v>75</v>
      </c>
      <c r="L251" s="37">
        <f t="shared" si="0"/>
        <v>77.319587628865975</v>
      </c>
      <c r="M251" s="35">
        <v>9</v>
      </c>
      <c r="N251" s="38">
        <f t="shared" si="1"/>
        <v>9.2783505154639183</v>
      </c>
      <c r="O251" s="35">
        <v>5</v>
      </c>
      <c r="P251" s="38">
        <f t="shared" si="2"/>
        <v>55.555555555555557</v>
      </c>
      <c r="Q251" s="88" t="s">
        <v>49</v>
      </c>
      <c r="R251" s="76" t="str">
        <f t="shared" si="3"/>
        <v>X</v>
      </c>
      <c r="S251" s="77" t="s">
        <v>60</v>
      </c>
      <c r="T251" s="34" t="str">
        <f>IF('PL1(Full)'!$N251&gt;=20,"x",IF(AND('PL1(Full)'!$N251&gt;=15,'PL1(Full)'!$P251&gt;60),"x",""))</f>
        <v/>
      </c>
      <c r="U251" s="34" t="str">
        <f>IF(AND('PL1(Full)'!$H251="Thôn",'PL1(Full)'!$I251&lt;75),"x",IF(AND('PL1(Full)'!$H251="Tổ",'PL1(Full)'!$I251&lt;100),"x","-"))</f>
        <v>-</v>
      </c>
      <c r="V251" s="34" t="str">
        <f>IF(AND('PL1(Full)'!$H251="Thôn",'PL1(Full)'!$I251&lt;140),"x",IF(AND('PL1(Full)'!$H251="Tổ",'PL1(Full)'!$I251&lt;210),"x","-"))</f>
        <v>x</v>
      </c>
      <c r="W251" s="40" t="str">
        <f t="shared" si="41"/>
        <v>Loại 3</v>
      </c>
      <c r="X251" s="32"/>
    </row>
    <row r="252" spans="1:24" ht="15.75" hidden="1" customHeight="1">
      <c r="A252" s="30">
        <f>_xlfn.AGGREGATE(4,7,A$6:A251)+1</f>
        <v>165</v>
      </c>
      <c r="B252" s="54" t="str">
        <f t="shared" si="40"/>
        <v>H. Bạch Thông</v>
      </c>
      <c r="C252" s="66" t="str">
        <f t="shared" si="48"/>
        <v>X. Nguyên Phúc</v>
      </c>
      <c r="D252" s="32"/>
      <c r="E252" s="32" t="s">
        <v>58</v>
      </c>
      <c r="F252" s="66" t="s">
        <v>335</v>
      </c>
      <c r="G252" s="32"/>
      <c r="H252" s="32" t="str">
        <f>IF(LEFT('PL1(Full)'!$F252,4)="Thôn","Thôn","Tổ")</f>
        <v>Thôn</v>
      </c>
      <c r="I252" s="35">
        <v>78</v>
      </c>
      <c r="J252" s="35">
        <v>327</v>
      </c>
      <c r="K252" s="35">
        <v>78</v>
      </c>
      <c r="L252" s="37">
        <f t="shared" si="0"/>
        <v>100</v>
      </c>
      <c r="M252" s="35">
        <v>24</v>
      </c>
      <c r="N252" s="38">
        <f t="shared" si="1"/>
        <v>30.76923076923077</v>
      </c>
      <c r="O252" s="35">
        <v>24</v>
      </c>
      <c r="P252" s="38">
        <f t="shared" si="2"/>
        <v>100</v>
      </c>
      <c r="Q252" s="88" t="s">
        <v>56</v>
      </c>
      <c r="R252" s="76" t="str">
        <f t="shared" si="3"/>
        <v>X</v>
      </c>
      <c r="S252" s="77" t="s">
        <v>60</v>
      </c>
      <c r="T252" s="34" t="str">
        <f>IF('PL1(Full)'!$N252&gt;=20,"x",IF(AND('PL1(Full)'!$N252&gt;=15,'PL1(Full)'!$P252&gt;60),"x",""))</f>
        <v>x</v>
      </c>
      <c r="U252" s="34" t="str">
        <f>IF(AND('PL1(Full)'!$H252="Thôn",'PL1(Full)'!$I252&lt;75),"x",IF(AND('PL1(Full)'!$H252="Tổ",'PL1(Full)'!$I252&lt;100),"x","-"))</f>
        <v>-</v>
      </c>
      <c r="V252" s="34" t="str">
        <f>IF(AND('PL1(Full)'!$H252="Thôn",'PL1(Full)'!$I252&lt;140),"x",IF(AND('PL1(Full)'!$H252="Tổ",'PL1(Full)'!$I252&lt;210),"x","-"))</f>
        <v>x</v>
      </c>
      <c r="W252" s="40" t="str">
        <f t="shared" si="41"/>
        <v>Loại 3</v>
      </c>
      <c r="X252" s="32"/>
    </row>
    <row r="253" spans="1:24" ht="15.75" customHeight="1">
      <c r="A253" s="30">
        <f>_xlfn.AGGREGATE(4,7,A$6:A252)+1</f>
        <v>165</v>
      </c>
      <c r="B253" s="54" t="str">
        <f t="shared" si="40"/>
        <v>H. Bạch Thông</v>
      </c>
      <c r="C253" s="66" t="str">
        <f t="shared" si="48"/>
        <v>X. Nguyên Phúc</v>
      </c>
      <c r="D253" s="32"/>
      <c r="E253" s="32" t="s">
        <v>58</v>
      </c>
      <c r="F253" s="66" t="s">
        <v>336</v>
      </c>
      <c r="G253" s="34" t="s">
        <v>40</v>
      </c>
      <c r="H253" s="32" t="str">
        <f>IF(LEFT('PL1(Full)'!$F253,4)="Thôn","Thôn","Tổ")</f>
        <v>Thôn</v>
      </c>
      <c r="I253" s="35">
        <v>48</v>
      </c>
      <c r="J253" s="35">
        <v>175</v>
      </c>
      <c r="K253" s="35">
        <v>48</v>
      </c>
      <c r="L253" s="37">
        <f t="shared" si="0"/>
        <v>100</v>
      </c>
      <c r="M253" s="35">
        <v>16</v>
      </c>
      <c r="N253" s="38">
        <f t="shared" si="1"/>
        <v>33.333333333333336</v>
      </c>
      <c r="O253" s="35">
        <v>16</v>
      </c>
      <c r="P253" s="38">
        <f t="shared" si="2"/>
        <v>100</v>
      </c>
      <c r="Q253" s="88" t="s">
        <v>158</v>
      </c>
      <c r="R253" s="76" t="str">
        <f t="shared" si="3"/>
        <v>X</v>
      </c>
      <c r="S253" s="77" t="s">
        <v>60</v>
      </c>
      <c r="T253" s="34" t="str">
        <f>IF('PL1(Full)'!$N253&gt;=20,"x",IF(AND('PL1(Full)'!$N253&gt;=15,'PL1(Full)'!$P253&gt;60),"x",""))</f>
        <v>x</v>
      </c>
      <c r="U253" s="34" t="str">
        <f>IF(AND('PL1(Full)'!$H253="Thôn",'PL1(Full)'!$I253&lt;75),"x",IF(AND('PL1(Full)'!$H253="Tổ",'PL1(Full)'!$I253&lt;100),"x","-"))</f>
        <v>x</v>
      </c>
      <c r="V253" s="34" t="str">
        <f>IF(AND('PL1(Full)'!$H253="Thôn",'PL1(Full)'!$I253&lt;140),"x",IF(AND('PL1(Full)'!$H253="Tổ",'PL1(Full)'!$I253&lt;210),"x","-"))</f>
        <v>x</v>
      </c>
      <c r="W253" s="40" t="str">
        <f t="shared" si="41"/>
        <v>Loại 3</v>
      </c>
      <c r="X253" s="32"/>
    </row>
    <row r="254" spans="1:24" ht="15.75" customHeight="1">
      <c r="A254" s="30">
        <f>_xlfn.AGGREGATE(4,7,A$6:A253)+1</f>
        <v>166</v>
      </c>
      <c r="B254" s="54" t="str">
        <f t="shared" si="40"/>
        <v>H. Bạch Thông</v>
      </c>
      <c r="C254" s="66" t="str">
        <f t="shared" si="48"/>
        <v>X. Nguyên Phúc</v>
      </c>
      <c r="D254" s="32"/>
      <c r="E254" s="32" t="s">
        <v>58</v>
      </c>
      <c r="F254" s="66" t="s">
        <v>337</v>
      </c>
      <c r="G254" s="32"/>
      <c r="H254" s="32" t="str">
        <f>IF(LEFT('PL1(Full)'!$F254,4)="Thôn","Thôn","Tổ")</f>
        <v>Thôn</v>
      </c>
      <c r="I254" s="35">
        <v>32</v>
      </c>
      <c r="J254" s="35">
        <v>156</v>
      </c>
      <c r="K254" s="35">
        <v>22</v>
      </c>
      <c r="L254" s="37">
        <f t="shared" si="0"/>
        <v>68.75</v>
      </c>
      <c r="M254" s="35">
        <v>5</v>
      </c>
      <c r="N254" s="38">
        <f t="shared" si="1"/>
        <v>15.625</v>
      </c>
      <c r="O254" s="35">
        <v>2</v>
      </c>
      <c r="P254" s="38">
        <f t="shared" si="2"/>
        <v>40</v>
      </c>
      <c r="Q254" s="88" t="s">
        <v>338</v>
      </c>
      <c r="R254" s="76" t="str">
        <f t="shared" si="3"/>
        <v>X</v>
      </c>
      <c r="S254" s="77" t="s">
        <v>60</v>
      </c>
      <c r="T254" s="34" t="str">
        <f>IF('PL1(Full)'!$N254&gt;=20,"x",IF(AND('PL1(Full)'!$N254&gt;=15,'PL1(Full)'!$P254&gt;60),"x",""))</f>
        <v/>
      </c>
      <c r="U254" s="34" t="str">
        <f>IF(AND('PL1(Full)'!$H254="Thôn",'PL1(Full)'!$I254&lt;75),"x",IF(AND('PL1(Full)'!$H254="Tổ",'PL1(Full)'!$I254&lt;100),"x","-"))</f>
        <v>x</v>
      </c>
      <c r="V254" s="34" t="str">
        <f>IF(AND('PL1(Full)'!$H254="Thôn",'PL1(Full)'!$I254&lt;140),"x",IF(AND('PL1(Full)'!$H254="Tổ",'PL1(Full)'!$I254&lt;210),"x","-"))</f>
        <v>x</v>
      </c>
      <c r="W254" s="40" t="str">
        <f t="shared" si="41"/>
        <v>Loại 3</v>
      </c>
      <c r="X254" s="32"/>
    </row>
    <row r="255" spans="1:24" ht="15.75" customHeight="1">
      <c r="A255" s="41">
        <f>_xlfn.AGGREGATE(4,7,A$6:A254)+1</f>
        <v>167</v>
      </c>
      <c r="B255" s="55" t="str">
        <f t="shared" si="40"/>
        <v>H. Bạch Thông</v>
      </c>
      <c r="C255" s="67" t="str">
        <f t="shared" si="48"/>
        <v>X. Nguyên Phúc</v>
      </c>
      <c r="D255" s="43"/>
      <c r="E255" s="43" t="s">
        <v>58</v>
      </c>
      <c r="F255" s="67" t="s">
        <v>339</v>
      </c>
      <c r="G255" s="43"/>
      <c r="H255" s="43" t="str">
        <f>IF(LEFT('PL1(Full)'!$F255,4)="Thôn","Thôn","Tổ")</f>
        <v>Thôn</v>
      </c>
      <c r="I255" s="45">
        <v>51</v>
      </c>
      <c r="J255" s="45">
        <v>217</v>
      </c>
      <c r="K255" s="45">
        <v>43</v>
      </c>
      <c r="L255" s="47">
        <f t="shared" si="0"/>
        <v>84.313725490196077</v>
      </c>
      <c r="M255" s="45">
        <v>9</v>
      </c>
      <c r="N255" s="48">
        <f t="shared" si="1"/>
        <v>17.647058823529413</v>
      </c>
      <c r="O255" s="45">
        <v>6</v>
      </c>
      <c r="P255" s="48">
        <f t="shared" si="2"/>
        <v>66.666666666666671</v>
      </c>
      <c r="Q255" s="89" t="s">
        <v>52</v>
      </c>
      <c r="R255" s="78" t="str">
        <f t="shared" si="3"/>
        <v>C</v>
      </c>
      <c r="S255" s="79"/>
      <c r="T255" s="50" t="str">
        <f>IF('PL1(Full)'!$N255&gt;=20,"x",IF(AND('PL1(Full)'!$N255&gt;=15,'PL1(Full)'!$P255&gt;60),"x",""))</f>
        <v>x</v>
      </c>
      <c r="U255" s="50" t="str">
        <f>IF(AND('PL1(Full)'!$H255="Thôn",'PL1(Full)'!$I255&lt;75),"x",IF(AND('PL1(Full)'!$H255="Tổ",'PL1(Full)'!$I255&lt;100),"x","-"))</f>
        <v>x</v>
      </c>
      <c r="V255" s="34" t="str">
        <f>IF(AND('PL1(Full)'!$H255="Thôn",'PL1(Full)'!$I255&lt;140),"x",IF(AND('PL1(Full)'!$H255="Tổ",'PL1(Full)'!$I255&lt;210),"x","-"))</f>
        <v>x</v>
      </c>
      <c r="W255" s="51" t="str">
        <f t="shared" si="41"/>
        <v>Loại 3</v>
      </c>
      <c r="X255" s="43"/>
    </row>
    <row r="256" spans="1:24" ht="15.75" customHeight="1">
      <c r="A256" s="52">
        <f>_xlfn.AGGREGATE(4,7,A$6:A255)+1</f>
        <v>168</v>
      </c>
      <c r="B256" s="53" t="str">
        <f t="shared" si="40"/>
        <v>H. Bạch Thông</v>
      </c>
      <c r="C256" s="14" t="s">
        <v>340</v>
      </c>
      <c r="D256" s="25" t="s">
        <v>36</v>
      </c>
      <c r="E256" s="25" t="s">
        <v>36</v>
      </c>
      <c r="F256" s="14" t="s">
        <v>341</v>
      </c>
      <c r="G256" s="25"/>
      <c r="H256" s="25" t="str">
        <f>IF(LEFT('PL1(Full)'!$F256,4)="Thôn","Thôn","Tổ")</f>
        <v>Thôn</v>
      </c>
      <c r="I256" s="90">
        <v>67</v>
      </c>
      <c r="J256" s="20">
        <v>275</v>
      </c>
      <c r="K256" s="20">
        <v>63</v>
      </c>
      <c r="L256" s="21">
        <f t="shared" si="0"/>
        <v>94.02985074626865</v>
      </c>
      <c r="M256" s="19">
        <v>3</v>
      </c>
      <c r="N256" s="22">
        <f t="shared" si="1"/>
        <v>4.4776119402985071</v>
      </c>
      <c r="O256" s="19">
        <v>5</v>
      </c>
      <c r="P256" s="22">
        <f t="shared" si="2"/>
        <v>166.66666666666666</v>
      </c>
      <c r="Q256" s="72" t="s">
        <v>56</v>
      </c>
      <c r="R256" s="72" t="str">
        <f t="shared" si="3"/>
        <v>X</v>
      </c>
      <c r="S256" s="73"/>
      <c r="T256" s="26" t="str">
        <f>IF('PL1(Full)'!$N256&gt;=20,"x",IF(AND('PL1(Full)'!$N256&gt;=15,'PL1(Full)'!$P256&gt;60),"x",""))</f>
        <v/>
      </c>
      <c r="U256" s="27" t="str">
        <f>IF(AND('PL1(Full)'!$H256="Thôn",'PL1(Full)'!$I256&lt;75),"x",IF(AND('PL1(Full)'!$H256="Tổ",'PL1(Full)'!$I256&lt;100),"x","-"))</f>
        <v>x</v>
      </c>
      <c r="V256" s="28" t="str">
        <f>IF(AND('PL1(Full)'!$H256="Thôn",'PL1(Full)'!$I256&lt;140),"x",IF(AND('PL1(Full)'!$H256="Tổ",'PL1(Full)'!$I256&lt;210),"x","-"))</f>
        <v>x</v>
      </c>
      <c r="W256" s="29" t="str">
        <f t="shared" si="41"/>
        <v>Loại 3</v>
      </c>
      <c r="X256" s="18"/>
    </row>
    <row r="257" spans="1:24" ht="15.75" customHeight="1">
      <c r="A257" s="30">
        <f>_xlfn.AGGREGATE(4,7,A$6:A256)+1</f>
        <v>169</v>
      </c>
      <c r="B257" s="54" t="str">
        <f t="shared" si="40"/>
        <v>H. Bạch Thông</v>
      </c>
      <c r="C257" s="66" t="str">
        <f t="shared" ref="C257:C270" si="49">C256</f>
        <v>X. Quân Hà</v>
      </c>
      <c r="D257" s="34"/>
      <c r="E257" s="34" t="s">
        <v>36</v>
      </c>
      <c r="F257" s="31" t="s">
        <v>342</v>
      </c>
      <c r="G257" s="34" t="s">
        <v>40</v>
      </c>
      <c r="H257" s="34" t="str">
        <f>IF(LEFT('PL1(Full)'!$F257,4)="Thôn","Thôn","Tổ")</f>
        <v>Thôn</v>
      </c>
      <c r="I257" s="91">
        <v>69</v>
      </c>
      <c r="J257" s="36">
        <v>278</v>
      </c>
      <c r="K257" s="36">
        <v>68</v>
      </c>
      <c r="L257" s="37">
        <f t="shared" si="0"/>
        <v>98.550724637681157</v>
      </c>
      <c r="M257" s="35">
        <v>9</v>
      </c>
      <c r="N257" s="38">
        <f t="shared" si="1"/>
        <v>13.043478260869565</v>
      </c>
      <c r="O257" s="35">
        <v>9</v>
      </c>
      <c r="P257" s="38">
        <f t="shared" si="2"/>
        <v>100</v>
      </c>
      <c r="Q257" s="74" t="s">
        <v>56</v>
      </c>
      <c r="R257" s="74" t="str">
        <f t="shared" si="3"/>
        <v>X</v>
      </c>
      <c r="S257" s="75" t="s">
        <v>60</v>
      </c>
      <c r="T257" s="34" t="str">
        <f>IF('PL1(Full)'!$N257&gt;=20,"x",IF(AND('PL1(Full)'!$N257&gt;=15,'PL1(Full)'!$P257&gt;60),"x",""))</f>
        <v/>
      </c>
      <c r="U257" s="34" t="str">
        <f>IF(AND('PL1(Full)'!$H257="Thôn",'PL1(Full)'!$I257&lt;75),"x",IF(AND('PL1(Full)'!$H257="Tổ",'PL1(Full)'!$I257&lt;100),"x","-"))</f>
        <v>x</v>
      </c>
      <c r="V257" s="34" t="str">
        <f>IF(AND('PL1(Full)'!$H257="Thôn",'PL1(Full)'!$I257&lt;140),"x",IF(AND('PL1(Full)'!$H257="Tổ",'PL1(Full)'!$I257&lt;210),"x","-"))</f>
        <v>x</v>
      </c>
      <c r="W257" s="40" t="str">
        <f t="shared" si="41"/>
        <v>Loại 3</v>
      </c>
      <c r="X257" s="32"/>
    </row>
    <row r="258" spans="1:24" ht="15.75" customHeight="1">
      <c r="A258" s="30">
        <f>_xlfn.AGGREGATE(4,7,A$6:A257)+1</f>
        <v>170</v>
      </c>
      <c r="B258" s="54" t="str">
        <f t="shared" si="40"/>
        <v>H. Bạch Thông</v>
      </c>
      <c r="C258" s="66" t="str">
        <f t="shared" si="49"/>
        <v>X. Quân Hà</v>
      </c>
      <c r="D258" s="34"/>
      <c r="E258" s="34" t="s">
        <v>36</v>
      </c>
      <c r="F258" s="31" t="s">
        <v>343</v>
      </c>
      <c r="G258" s="34"/>
      <c r="H258" s="34" t="str">
        <f>IF(LEFT('PL1(Full)'!$F258,4)="Thôn","Thôn","Tổ")</f>
        <v>Thôn</v>
      </c>
      <c r="I258" s="91">
        <v>59</v>
      </c>
      <c r="J258" s="36">
        <v>232</v>
      </c>
      <c r="K258" s="36">
        <v>57</v>
      </c>
      <c r="L258" s="37">
        <f t="shared" si="0"/>
        <v>96.610169491525426</v>
      </c>
      <c r="M258" s="35">
        <v>3</v>
      </c>
      <c r="N258" s="38">
        <f t="shared" si="1"/>
        <v>5.0847457627118642</v>
      </c>
      <c r="O258" s="35">
        <v>3</v>
      </c>
      <c r="P258" s="38">
        <f t="shared" si="2"/>
        <v>100</v>
      </c>
      <c r="Q258" s="76" t="s">
        <v>56</v>
      </c>
      <c r="R258" s="76" t="str">
        <f t="shared" si="3"/>
        <v>X</v>
      </c>
      <c r="S258" s="77"/>
      <c r="T258" s="34" t="str">
        <f>IF('PL1(Full)'!$N258&gt;=20,"x",IF(AND('PL1(Full)'!$N258&gt;=15,'PL1(Full)'!$P258&gt;60),"x",""))</f>
        <v/>
      </c>
      <c r="U258" s="34" t="str">
        <f>IF(AND('PL1(Full)'!$H258="Thôn",'PL1(Full)'!$I258&lt;75),"x",IF(AND('PL1(Full)'!$H258="Tổ",'PL1(Full)'!$I258&lt;100),"x","-"))</f>
        <v>x</v>
      </c>
      <c r="V258" s="34" t="str">
        <f>IF(AND('PL1(Full)'!$H258="Thôn",'PL1(Full)'!$I258&lt;140),"x",IF(AND('PL1(Full)'!$H258="Tổ",'PL1(Full)'!$I258&lt;210),"x","-"))</f>
        <v>x</v>
      </c>
      <c r="W258" s="40" t="str">
        <f t="shared" si="41"/>
        <v>Loại 3</v>
      </c>
      <c r="X258" s="32"/>
    </row>
    <row r="259" spans="1:24" ht="15.75" hidden="1" customHeight="1">
      <c r="A259" s="30">
        <f>_xlfn.AGGREGATE(4,7,A$6:A258)+1</f>
        <v>171</v>
      </c>
      <c r="B259" s="54" t="str">
        <f t="shared" si="40"/>
        <v>H. Bạch Thông</v>
      </c>
      <c r="C259" s="66" t="str">
        <f t="shared" si="49"/>
        <v>X. Quân Hà</v>
      </c>
      <c r="D259" s="34"/>
      <c r="E259" s="34" t="s">
        <v>36</v>
      </c>
      <c r="F259" s="31" t="s">
        <v>344</v>
      </c>
      <c r="G259" s="34"/>
      <c r="H259" s="34" t="str">
        <f>IF(LEFT('PL1(Full)'!$F259,4)="Thôn","Thôn","Tổ")</f>
        <v>Thôn</v>
      </c>
      <c r="I259" s="91">
        <v>80</v>
      </c>
      <c r="J259" s="36">
        <v>299</v>
      </c>
      <c r="K259" s="36">
        <v>71</v>
      </c>
      <c r="L259" s="37">
        <f t="shared" si="0"/>
        <v>88.75</v>
      </c>
      <c r="M259" s="35">
        <v>3</v>
      </c>
      <c r="N259" s="38">
        <f t="shared" si="1"/>
        <v>3.75</v>
      </c>
      <c r="O259" s="35">
        <v>3</v>
      </c>
      <c r="P259" s="38">
        <f t="shared" si="2"/>
        <v>100</v>
      </c>
      <c r="Q259" s="76" t="s">
        <v>56</v>
      </c>
      <c r="R259" s="76" t="str">
        <f t="shared" si="3"/>
        <v>X</v>
      </c>
      <c r="S259" s="77"/>
      <c r="T259" s="34" t="str">
        <f>IF('PL1(Full)'!$N259&gt;=20,"x",IF(AND('PL1(Full)'!$N259&gt;=15,'PL1(Full)'!$P259&gt;60),"x",""))</f>
        <v/>
      </c>
      <c r="U259" s="34" t="str">
        <f>IF(AND('PL1(Full)'!$H259="Thôn",'PL1(Full)'!$I259&lt;75),"x",IF(AND('PL1(Full)'!$H259="Tổ",'PL1(Full)'!$I259&lt;100),"x","-"))</f>
        <v>-</v>
      </c>
      <c r="V259" s="34" t="str">
        <f>IF(AND('PL1(Full)'!$H259="Thôn",'PL1(Full)'!$I259&lt;140),"x",IF(AND('PL1(Full)'!$H259="Tổ",'PL1(Full)'!$I259&lt;210),"x","-"))</f>
        <v>x</v>
      </c>
      <c r="W259" s="40" t="str">
        <f t="shared" si="41"/>
        <v>Loại 3</v>
      </c>
      <c r="X259" s="32"/>
    </row>
    <row r="260" spans="1:24" ht="15.75" customHeight="1">
      <c r="A260" s="30">
        <f>_xlfn.AGGREGATE(4,7,A$6:A259)+1</f>
        <v>171</v>
      </c>
      <c r="B260" s="54" t="str">
        <f t="shared" si="40"/>
        <v>H. Bạch Thông</v>
      </c>
      <c r="C260" s="66" t="str">
        <f t="shared" si="49"/>
        <v>X. Quân Hà</v>
      </c>
      <c r="D260" s="34"/>
      <c r="E260" s="34" t="s">
        <v>36</v>
      </c>
      <c r="F260" s="31" t="s">
        <v>345</v>
      </c>
      <c r="G260" s="34"/>
      <c r="H260" s="34" t="str">
        <f>IF(LEFT('PL1(Full)'!$F260,4)="Thôn","Thôn","Tổ")</f>
        <v>Thôn</v>
      </c>
      <c r="I260" s="91">
        <v>68</v>
      </c>
      <c r="J260" s="36">
        <v>278</v>
      </c>
      <c r="K260" s="36">
        <v>67</v>
      </c>
      <c r="L260" s="37">
        <f t="shared" si="0"/>
        <v>98.529411764705884</v>
      </c>
      <c r="M260" s="35">
        <v>4</v>
      </c>
      <c r="N260" s="38">
        <f t="shared" si="1"/>
        <v>5.882352941176471</v>
      </c>
      <c r="O260" s="35">
        <v>4</v>
      </c>
      <c r="P260" s="38">
        <f t="shared" si="2"/>
        <v>100</v>
      </c>
      <c r="Q260" s="76" t="s">
        <v>56</v>
      </c>
      <c r="R260" s="76" t="str">
        <f t="shared" si="3"/>
        <v>X</v>
      </c>
      <c r="S260" s="77"/>
      <c r="T260" s="34" t="str">
        <f>IF('PL1(Full)'!$N260&gt;=20,"x",IF(AND('PL1(Full)'!$N260&gt;=15,'PL1(Full)'!$P260&gt;60),"x",""))</f>
        <v/>
      </c>
      <c r="U260" s="34" t="str">
        <f>IF(AND('PL1(Full)'!$H260="Thôn",'PL1(Full)'!$I260&lt;75),"x",IF(AND('PL1(Full)'!$H260="Tổ",'PL1(Full)'!$I260&lt;100),"x","-"))</f>
        <v>x</v>
      </c>
      <c r="V260" s="34" t="str">
        <f>IF(AND('PL1(Full)'!$H260="Thôn",'PL1(Full)'!$I260&lt;140),"x",IF(AND('PL1(Full)'!$H260="Tổ",'PL1(Full)'!$I260&lt;210),"x","-"))</f>
        <v>x</v>
      </c>
      <c r="W260" s="40" t="str">
        <f t="shared" si="41"/>
        <v>Loại 3</v>
      </c>
      <c r="X260" s="32"/>
    </row>
    <row r="261" spans="1:24" ht="15.75" customHeight="1">
      <c r="A261" s="30">
        <f>_xlfn.AGGREGATE(4,7,A$6:A260)+1</f>
        <v>172</v>
      </c>
      <c r="B261" s="54" t="str">
        <f t="shared" si="40"/>
        <v>H. Bạch Thông</v>
      </c>
      <c r="C261" s="66" t="str">
        <f t="shared" si="49"/>
        <v>X. Quân Hà</v>
      </c>
      <c r="D261" s="34"/>
      <c r="E261" s="34" t="s">
        <v>36</v>
      </c>
      <c r="F261" s="31" t="s">
        <v>346</v>
      </c>
      <c r="G261" s="34"/>
      <c r="H261" s="34" t="str">
        <f>IF(LEFT('PL1(Full)'!$F261,4)="Thôn","Thôn","Tổ")</f>
        <v>Thôn</v>
      </c>
      <c r="I261" s="91">
        <v>66</v>
      </c>
      <c r="J261" s="36">
        <v>235</v>
      </c>
      <c r="K261" s="36">
        <v>66</v>
      </c>
      <c r="L261" s="37">
        <f t="shared" si="0"/>
        <v>100</v>
      </c>
      <c r="M261" s="35">
        <v>4</v>
      </c>
      <c r="N261" s="38">
        <f t="shared" si="1"/>
        <v>6.0606060606060606</v>
      </c>
      <c r="O261" s="35">
        <v>4</v>
      </c>
      <c r="P261" s="38">
        <f t="shared" si="2"/>
        <v>100</v>
      </c>
      <c r="Q261" s="76" t="s">
        <v>158</v>
      </c>
      <c r="R261" s="76" t="str">
        <f t="shared" si="3"/>
        <v>X</v>
      </c>
      <c r="S261" s="77"/>
      <c r="T261" s="34" t="str">
        <f>IF('PL1(Full)'!$N261&gt;=20,"x",IF(AND('PL1(Full)'!$N261&gt;=15,'PL1(Full)'!$P261&gt;60),"x",""))</f>
        <v/>
      </c>
      <c r="U261" s="34" t="str">
        <f>IF(AND('PL1(Full)'!$H261="Thôn",'PL1(Full)'!$I261&lt;75),"x",IF(AND('PL1(Full)'!$H261="Tổ",'PL1(Full)'!$I261&lt;100),"x","-"))</f>
        <v>x</v>
      </c>
      <c r="V261" s="34" t="str">
        <f>IF(AND('PL1(Full)'!$H261="Thôn",'PL1(Full)'!$I261&lt;140),"x",IF(AND('PL1(Full)'!$H261="Tổ",'PL1(Full)'!$I261&lt;210),"x","-"))</f>
        <v>x</v>
      </c>
      <c r="W261" s="40" t="str">
        <f t="shared" si="41"/>
        <v>Loại 3</v>
      </c>
      <c r="X261" s="32"/>
    </row>
    <row r="262" spans="1:24" ht="15.75" hidden="1" customHeight="1">
      <c r="A262" s="30">
        <f>_xlfn.AGGREGATE(4,7,A$6:A261)+1</f>
        <v>173</v>
      </c>
      <c r="B262" s="54" t="str">
        <f t="shared" si="40"/>
        <v>H. Bạch Thông</v>
      </c>
      <c r="C262" s="66" t="str">
        <f t="shared" si="49"/>
        <v>X. Quân Hà</v>
      </c>
      <c r="D262" s="34"/>
      <c r="E262" s="34" t="s">
        <v>36</v>
      </c>
      <c r="F262" s="31" t="s">
        <v>347</v>
      </c>
      <c r="G262" s="34"/>
      <c r="H262" s="34" t="str">
        <f>IF(LEFT('PL1(Full)'!$F262,4)="Thôn","Thôn","Tổ")</f>
        <v>Thôn</v>
      </c>
      <c r="I262" s="91">
        <v>93</v>
      </c>
      <c r="J262" s="36">
        <v>393</v>
      </c>
      <c r="K262" s="36">
        <v>88</v>
      </c>
      <c r="L262" s="37">
        <f t="shared" si="0"/>
        <v>94.623655913978496</v>
      </c>
      <c r="M262" s="35">
        <v>2</v>
      </c>
      <c r="N262" s="38">
        <f t="shared" si="1"/>
        <v>2.150537634408602</v>
      </c>
      <c r="O262" s="35">
        <v>2</v>
      </c>
      <c r="P262" s="38">
        <f t="shared" si="2"/>
        <v>100</v>
      </c>
      <c r="Q262" s="76" t="s">
        <v>82</v>
      </c>
      <c r="R262" s="76" t="str">
        <f t="shared" si="3"/>
        <v>X</v>
      </c>
      <c r="S262" s="77"/>
      <c r="T262" s="34" t="str">
        <f>IF('PL1(Full)'!$N262&gt;=20,"x",IF(AND('PL1(Full)'!$N262&gt;=15,'PL1(Full)'!$P262&gt;60),"x",""))</f>
        <v/>
      </c>
      <c r="U262" s="34" t="str">
        <f>IF(AND('PL1(Full)'!$H262="Thôn",'PL1(Full)'!$I262&lt;75),"x",IF(AND('PL1(Full)'!$H262="Tổ",'PL1(Full)'!$I262&lt;100),"x","-"))</f>
        <v>-</v>
      </c>
      <c r="V262" s="34" t="str">
        <f>IF(AND('PL1(Full)'!$H262="Thôn",'PL1(Full)'!$I262&lt;140),"x",IF(AND('PL1(Full)'!$H262="Tổ",'PL1(Full)'!$I262&lt;210),"x","-"))</f>
        <v>x</v>
      </c>
      <c r="W262" s="40" t="str">
        <f t="shared" si="41"/>
        <v>Loại 3</v>
      </c>
      <c r="X262" s="32"/>
    </row>
    <row r="263" spans="1:24" ht="15.75" customHeight="1">
      <c r="A263" s="30">
        <f>_xlfn.AGGREGATE(4,7,A$6:A262)+1</f>
        <v>173</v>
      </c>
      <c r="B263" s="54" t="str">
        <f t="shared" si="40"/>
        <v>H. Bạch Thông</v>
      </c>
      <c r="C263" s="66" t="str">
        <f t="shared" si="49"/>
        <v>X. Quân Hà</v>
      </c>
      <c r="D263" s="34"/>
      <c r="E263" s="34" t="s">
        <v>36</v>
      </c>
      <c r="F263" s="31" t="s">
        <v>119</v>
      </c>
      <c r="G263" s="34"/>
      <c r="H263" s="34" t="str">
        <f>IF(LEFT('PL1(Full)'!$F263,4)="Thôn","Thôn","Tổ")</f>
        <v>Thôn</v>
      </c>
      <c r="I263" s="91">
        <v>53</v>
      </c>
      <c r="J263" s="36">
        <v>232</v>
      </c>
      <c r="K263" s="36">
        <v>53</v>
      </c>
      <c r="L263" s="37">
        <f t="shared" si="0"/>
        <v>100</v>
      </c>
      <c r="M263" s="35">
        <v>3</v>
      </c>
      <c r="N263" s="38">
        <f t="shared" si="1"/>
        <v>5.6603773584905657</v>
      </c>
      <c r="O263" s="35">
        <v>3</v>
      </c>
      <c r="P263" s="38">
        <f t="shared" si="2"/>
        <v>100</v>
      </c>
      <c r="Q263" s="76" t="s">
        <v>56</v>
      </c>
      <c r="R263" s="76" t="str">
        <f t="shared" si="3"/>
        <v>X</v>
      </c>
      <c r="S263" s="77"/>
      <c r="T263" s="34" t="str">
        <f>IF('PL1(Full)'!$N263&gt;=20,"x",IF(AND('PL1(Full)'!$N263&gt;=15,'PL1(Full)'!$P263&gt;60),"x",""))</f>
        <v/>
      </c>
      <c r="U263" s="34" t="str">
        <f>IF(AND('PL1(Full)'!$H263="Thôn",'PL1(Full)'!$I263&lt;75),"x",IF(AND('PL1(Full)'!$H263="Tổ",'PL1(Full)'!$I263&lt;100),"x","-"))</f>
        <v>x</v>
      </c>
      <c r="V263" s="34" t="str">
        <f>IF(AND('PL1(Full)'!$H263="Thôn",'PL1(Full)'!$I263&lt;140),"x",IF(AND('PL1(Full)'!$H263="Tổ",'PL1(Full)'!$I263&lt;210),"x","-"))</f>
        <v>x</v>
      </c>
      <c r="W263" s="40" t="str">
        <f t="shared" si="41"/>
        <v>Loại 3</v>
      </c>
      <c r="X263" s="32"/>
    </row>
    <row r="264" spans="1:24" ht="15.75" customHeight="1">
      <c r="A264" s="30">
        <f>_xlfn.AGGREGATE(4,7,A$6:A263)+1</f>
        <v>174</v>
      </c>
      <c r="B264" s="54" t="str">
        <f t="shared" si="40"/>
        <v>H. Bạch Thông</v>
      </c>
      <c r="C264" s="66" t="str">
        <f t="shared" si="49"/>
        <v>X. Quân Hà</v>
      </c>
      <c r="D264" s="34"/>
      <c r="E264" s="34" t="s">
        <v>36</v>
      </c>
      <c r="F264" s="31" t="s">
        <v>348</v>
      </c>
      <c r="G264" s="34"/>
      <c r="H264" s="34" t="str">
        <f>IF(LEFT('PL1(Full)'!$F264,4)="Thôn","Thôn","Tổ")</f>
        <v>Thôn</v>
      </c>
      <c r="I264" s="91">
        <v>71</v>
      </c>
      <c r="J264" s="36">
        <v>272</v>
      </c>
      <c r="K264" s="36">
        <v>70</v>
      </c>
      <c r="L264" s="37">
        <f t="shared" si="0"/>
        <v>98.591549295774641</v>
      </c>
      <c r="M264" s="35">
        <v>2</v>
      </c>
      <c r="N264" s="38">
        <f t="shared" si="1"/>
        <v>2.816901408450704</v>
      </c>
      <c r="O264" s="35">
        <v>2</v>
      </c>
      <c r="P264" s="38">
        <f t="shared" si="2"/>
        <v>100</v>
      </c>
      <c r="Q264" s="76" t="s">
        <v>56</v>
      </c>
      <c r="R264" s="76" t="str">
        <f t="shared" si="3"/>
        <v>X</v>
      </c>
      <c r="S264" s="77"/>
      <c r="T264" s="34" t="str">
        <f>IF('PL1(Full)'!$N264&gt;=20,"x",IF(AND('PL1(Full)'!$N264&gt;=15,'PL1(Full)'!$P264&gt;60),"x",""))</f>
        <v/>
      </c>
      <c r="U264" s="34" t="str">
        <f>IF(AND('PL1(Full)'!$H264="Thôn",'PL1(Full)'!$I264&lt;75),"x",IF(AND('PL1(Full)'!$H264="Tổ",'PL1(Full)'!$I264&lt;100),"x","-"))</f>
        <v>x</v>
      </c>
      <c r="V264" s="34" t="str">
        <f>IF(AND('PL1(Full)'!$H264="Thôn",'PL1(Full)'!$I264&lt;140),"x",IF(AND('PL1(Full)'!$H264="Tổ",'PL1(Full)'!$I264&lt;210),"x","-"))</f>
        <v>x</v>
      </c>
      <c r="W264" s="40" t="str">
        <f t="shared" si="41"/>
        <v>Loại 3</v>
      </c>
      <c r="X264" s="32"/>
    </row>
    <row r="265" spans="1:24" ht="15.75" customHeight="1">
      <c r="A265" s="30">
        <f>_xlfn.AGGREGATE(4,7,A$6:A264)+1</f>
        <v>175</v>
      </c>
      <c r="B265" s="54" t="str">
        <f t="shared" si="40"/>
        <v>H. Bạch Thông</v>
      </c>
      <c r="C265" s="66" t="str">
        <f t="shared" si="49"/>
        <v>X. Quân Hà</v>
      </c>
      <c r="D265" s="34"/>
      <c r="E265" s="34" t="s">
        <v>36</v>
      </c>
      <c r="F265" s="31" t="s">
        <v>349</v>
      </c>
      <c r="G265" s="34"/>
      <c r="H265" s="34" t="str">
        <f>IF(LEFT('PL1(Full)'!$F265,4)="Thôn","Thôn","Tổ")</f>
        <v>Thôn</v>
      </c>
      <c r="I265" s="91">
        <v>63</v>
      </c>
      <c r="J265" s="36">
        <v>243</v>
      </c>
      <c r="K265" s="36">
        <v>56</v>
      </c>
      <c r="L265" s="37">
        <f t="shared" si="0"/>
        <v>88.888888888888886</v>
      </c>
      <c r="M265" s="35">
        <v>4</v>
      </c>
      <c r="N265" s="38">
        <f t="shared" si="1"/>
        <v>6.3492063492063489</v>
      </c>
      <c r="O265" s="35">
        <v>4</v>
      </c>
      <c r="P265" s="38">
        <f t="shared" si="2"/>
        <v>100</v>
      </c>
      <c r="Q265" s="76" t="s">
        <v>82</v>
      </c>
      <c r="R265" s="76" t="str">
        <f t="shared" si="3"/>
        <v>X</v>
      </c>
      <c r="S265" s="77"/>
      <c r="T265" s="34" t="str">
        <f>IF('PL1(Full)'!$N265&gt;=20,"x",IF(AND('PL1(Full)'!$N265&gt;=15,'PL1(Full)'!$P265&gt;60),"x",""))</f>
        <v/>
      </c>
      <c r="U265" s="34" t="str">
        <f>IF(AND('PL1(Full)'!$H265="Thôn",'PL1(Full)'!$I265&lt;75),"x",IF(AND('PL1(Full)'!$H265="Tổ",'PL1(Full)'!$I265&lt;100),"x","-"))</f>
        <v>x</v>
      </c>
      <c r="V265" s="34" t="str">
        <f>IF(AND('PL1(Full)'!$H265="Thôn",'PL1(Full)'!$I265&lt;140),"x",IF(AND('PL1(Full)'!$H265="Tổ",'PL1(Full)'!$I265&lt;210),"x","-"))</f>
        <v>x</v>
      </c>
      <c r="W265" s="40" t="str">
        <f t="shared" si="41"/>
        <v>Loại 3</v>
      </c>
      <c r="X265" s="32"/>
    </row>
    <row r="266" spans="1:24" ht="15.75" customHeight="1">
      <c r="A266" s="30">
        <f>_xlfn.AGGREGATE(4,7,A$6:A265)+1</f>
        <v>176</v>
      </c>
      <c r="B266" s="54" t="str">
        <f t="shared" si="40"/>
        <v>H. Bạch Thông</v>
      </c>
      <c r="C266" s="66" t="str">
        <f t="shared" si="49"/>
        <v>X. Quân Hà</v>
      </c>
      <c r="D266" s="34"/>
      <c r="E266" s="34" t="s">
        <v>36</v>
      </c>
      <c r="F266" s="31" t="s">
        <v>350</v>
      </c>
      <c r="G266" s="34"/>
      <c r="H266" s="34" t="str">
        <f>IF(LEFT('PL1(Full)'!$F266,4)="Thôn","Thôn","Tổ")</f>
        <v>Thôn</v>
      </c>
      <c r="I266" s="91">
        <v>46</v>
      </c>
      <c r="J266" s="36">
        <v>167</v>
      </c>
      <c r="K266" s="36">
        <v>47</v>
      </c>
      <c r="L266" s="37">
        <f t="shared" si="0"/>
        <v>102.17391304347827</v>
      </c>
      <c r="M266" s="35">
        <v>5</v>
      </c>
      <c r="N266" s="38">
        <f t="shared" si="1"/>
        <v>10.869565217391305</v>
      </c>
      <c r="O266" s="35">
        <v>5</v>
      </c>
      <c r="P266" s="38">
        <f t="shared" si="2"/>
        <v>100</v>
      </c>
      <c r="Q266" s="76" t="s">
        <v>82</v>
      </c>
      <c r="R266" s="76" t="str">
        <f t="shared" si="3"/>
        <v>X</v>
      </c>
      <c r="S266" s="77"/>
      <c r="T266" s="34" t="str">
        <f>IF('PL1(Full)'!$N266&gt;=20,"x",IF(AND('PL1(Full)'!$N266&gt;=15,'PL1(Full)'!$P266&gt;60),"x",""))</f>
        <v/>
      </c>
      <c r="U266" s="34" t="str">
        <f>IF(AND('PL1(Full)'!$H266="Thôn",'PL1(Full)'!$I266&lt;75),"x",IF(AND('PL1(Full)'!$H266="Tổ",'PL1(Full)'!$I266&lt;100),"x","-"))</f>
        <v>x</v>
      </c>
      <c r="V266" s="34" t="str">
        <f>IF(AND('PL1(Full)'!$H266="Thôn",'PL1(Full)'!$I266&lt;140),"x",IF(AND('PL1(Full)'!$H266="Tổ",'PL1(Full)'!$I266&lt;210),"x","-"))</f>
        <v>x</v>
      </c>
      <c r="W266" s="40" t="str">
        <f t="shared" si="41"/>
        <v>Loại 3</v>
      </c>
      <c r="X266" s="32"/>
    </row>
    <row r="267" spans="1:24" ht="15.75" customHeight="1">
      <c r="A267" s="30">
        <f>_xlfn.AGGREGATE(4,7,A$6:A266)+1</f>
        <v>177</v>
      </c>
      <c r="B267" s="54" t="str">
        <f t="shared" si="40"/>
        <v>H. Bạch Thông</v>
      </c>
      <c r="C267" s="66" t="str">
        <f t="shared" si="49"/>
        <v>X. Quân Hà</v>
      </c>
      <c r="D267" s="34"/>
      <c r="E267" s="34" t="s">
        <v>36</v>
      </c>
      <c r="F267" s="31" t="s">
        <v>351</v>
      </c>
      <c r="G267" s="34"/>
      <c r="H267" s="34" t="str">
        <f>IF(LEFT('PL1(Full)'!$F267,4)="Thôn","Thôn","Tổ")</f>
        <v>Thôn</v>
      </c>
      <c r="I267" s="91">
        <v>46</v>
      </c>
      <c r="J267" s="36">
        <v>165</v>
      </c>
      <c r="K267" s="36">
        <v>47</v>
      </c>
      <c r="L267" s="37">
        <f t="shared" si="0"/>
        <v>102.17391304347827</v>
      </c>
      <c r="M267" s="35">
        <v>1</v>
      </c>
      <c r="N267" s="38">
        <f t="shared" si="1"/>
        <v>2.1739130434782608</v>
      </c>
      <c r="O267" s="35">
        <v>1</v>
      </c>
      <c r="P267" s="38">
        <f t="shared" si="2"/>
        <v>100</v>
      </c>
      <c r="Q267" s="76" t="s">
        <v>49</v>
      </c>
      <c r="R267" s="76" t="str">
        <f t="shared" si="3"/>
        <v>X</v>
      </c>
      <c r="S267" s="77"/>
      <c r="T267" s="34" t="str">
        <f>IF('PL1(Full)'!$N267&gt;=20,"x",IF(AND('PL1(Full)'!$N267&gt;=15,'PL1(Full)'!$P267&gt;60),"x",""))</f>
        <v/>
      </c>
      <c r="U267" s="34" t="str">
        <f>IF(AND('PL1(Full)'!$H267="Thôn",'PL1(Full)'!$I267&lt;75),"x",IF(AND('PL1(Full)'!$H267="Tổ",'PL1(Full)'!$I267&lt;100),"x","-"))</f>
        <v>x</v>
      </c>
      <c r="V267" s="34" t="str">
        <f>IF(AND('PL1(Full)'!$H267="Thôn",'PL1(Full)'!$I267&lt;140),"x",IF(AND('PL1(Full)'!$H267="Tổ",'PL1(Full)'!$I267&lt;210),"x","-"))</f>
        <v>x</v>
      </c>
      <c r="W267" s="40" t="str">
        <f t="shared" si="41"/>
        <v>Loại 3</v>
      </c>
      <c r="X267" s="32"/>
    </row>
    <row r="268" spans="1:24" ht="15.75" hidden="1" customHeight="1">
      <c r="A268" s="30">
        <f>_xlfn.AGGREGATE(4,7,A$6:A267)+1</f>
        <v>178</v>
      </c>
      <c r="B268" s="54" t="str">
        <f t="shared" si="40"/>
        <v>H. Bạch Thông</v>
      </c>
      <c r="C268" s="66" t="str">
        <f t="shared" si="49"/>
        <v>X. Quân Hà</v>
      </c>
      <c r="D268" s="34"/>
      <c r="E268" s="34" t="s">
        <v>36</v>
      </c>
      <c r="F268" s="31" t="s">
        <v>352</v>
      </c>
      <c r="G268" s="34"/>
      <c r="H268" s="34" t="str">
        <f>IF(LEFT('PL1(Full)'!$F268,4)="Thôn","Thôn","Tổ")</f>
        <v>Thôn</v>
      </c>
      <c r="I268" s="91">
        <v>88</v>
      </c>
      <c r="J268" s="36">
        <v>336</v>
      </c>
      <c r="K268" s="36">
        <v>80</v>
      </c>
      <c r="L268" s="37">
        <f t="shared" si="0"/>
        <v>90.909090909090907</v>
      </c>
      <c r="M268" s="35">
        <v>2</v>
      </c>
      <c r="N268" s="38">
        <f t="shared" si="1"/>
        <v>2.2727272727272729</v>
      </c>
      <c r="O268" s="35">
        <v>2</v>
      </c>
      <c r="P268" s="38">
        <f t="shared" si="2"/>
        <v>100</v>
      </c>
      <c r="Q268" s="76" t="s">
        <v>56</v>
      </c>
      <c r="R268" s="76" t="str">
        <f t="shared" si="3"/>
        <v>X</v>
      </c>
      <c r="S268" s="77"/>
      <c r="T268" s="34" t="str">
        <f>IF('PL1(Full)'!$N268&gt;=20,"x",IF(AND('PL1(Full)'!$N268&gt;=15,'PL1(Full)'!$P268&gt;60),"x",""))</f>
        <v/>
      </c>
      <c r="U268" s="34" t="str">
        <f>IF(AND('PL1(Full)'!$H268="Thôn",'PL1(Full)'!$I268&lt;75),"x",IF(AND('PL1(Full)'!$H268="Tổ",'PL1(Full)'!$I268&lt;100),"x","-"))</f>
        <v>-</v>
      </c>
      <c r="V268" s="34" t="str">
        <f>IF(AND('PL1(Full)'!$H268="Thôn",'PL1(Full)'!$I268&lt;140),"x",IF(AND('PL1(Full)'!$H268="Tổ",'PL1(Full)'!$I268&lt;210),"x","-"))</f>
        <v>x</v>
      </c>
      <c r="W268" s="40" t="str">
        <f t="shared" si="41"/>
        <v>Loại 3</v>
      </c>
      <c r="X268" s="32"/>
    </row>
    <row r="269" spans="1:24" ht="15.75" hidden="1" customHeight="1">
      <c r="A269" s="30">
        <f>_xlfn.AGGREGATE(4,7,A$6:A268)+1</f>
        <v>178</v>
      </c>
      <c r="B269" s="54" t="str">
        <f t="shared" si="40"/>
        <v>H. Bạch Thông</v>
      </c>
      <c r="C269" s="66" t="str">
        <f t="shared" si="49"/>
        <v>X. Quân Hà</v>
      </c>
      <c r="D269" s="34"/>
      <c r="E269" s="34" t="s">
        <v>36</v>
      </c>
      <c r="F269" s="31" t="s">
        <v>353</v>
      </c>
      <c r="G269" s="34"/>
      <c r="H269" s="34" t="str">
        <f>IF(LEFT('PL1(Full)'!$F269,4)="Thôn","Thôn","Tổ")</f>
        <v>Thôn</v>
      </c>
      <c r="I269" s="91">
        <v>87</v>
      </c>
      <c r="J269" s="36">
        <v>360</v>
      </c>
      <c r="K269" s="36">
        <v>76</v>
      </c>
      <c r="L269" s="37">
        <f t="shared" si="0"/>
        <v>87.356321839080465</v>
      </c>
      <c r="M269" s="35">
        <v>2</v>
      </c>
      <c r="N269" s="38">
        <f t="shared" si="1"/>
        <v>2.2988505747126435</v>
      </c>
      <c r="O269" s="35">
        <v>2</v>
      </c>
      <c r="P269" s="38">
        <f t="shared" si="2"/>
        <v>100</v>
      </c>
      <c r="Q269" s="76" t="s">
        <v>49</v>
      </c>
      <c r="R269" s="76" t="str">
        <f t="shared" si="3"/>
        <v>X</v>
      </c>
      <c r="S269" s="77"/>
      <c r="T269" s="34" t="str">
        <f>IF('PL1(Full)'!$N269&gt;=20,"x",IF(AND('PL1(Full)'!$N269&gt;=15,'PL1(Full)'!$P269&gt;60),"x",""))</f>
        <v/>
      </c>
      <c r="U269" s="34" t="str">
        <f>IF(AND('PL1(Full)'!$H269="Thôn",'PL1(Full)'!$I269&lt;75),"x",IF(AND('PL1(Full)'!$H269="Tổ",'PL1(Full)'!$I269&lt;100),"x","-"))</f>
        <v>-</v>
      </c>
      <c r="V269" s="34" t="str">
        <f>IF(AND('PL1(Full)'!$H269="Thôn",'PL1(Full)'!$I269&lt;140),"x",IF(AND('PL1(Full)'!$H269="Tổ",'PL1(Full)'!$I269&lt;210),"x","-"))</f>
        <v>x</v>
      </c>
      <c r="W269" s="40" t="str">
        <f t="shared" si="41"/>
        <v>Loại 3</v>
      </c>
      <c r="X269" s="32"/>
    </row>
    <row r="270" spans="1:24" ht="15.75" hidden="1" customHeight="1">
      <c r="A270" s="41">
        <f>_xlfn.AGGREGATE(4,7,A$6:A269)+1</f>
        <v>178</v>
      </c>
      <c r="B270" s="55" t="str">
        <f t="shared" si="40"/>
        <v>H. Bạch Thông</v>
      </c>
      <c r="C270" s="67" t="str">
        <f t="shared" si="49"/>
        <v>X. Quân Hà</v>
      </c>
      <c r="D270" s="50"/>
      <c r="E270" s="50" t="s">
        <v>36</v>
      </c>
      <c r="F270" s="42" t="s">
        <v>354</v>
      </c>
      <c r="G270" s="50"/>
      <c r="H270" s="50" t="str">
        <f>IF(LEFT('PL1(Full)'!$F270,4)="Thôn","Thôn","Tổ")</f>
        <v>Thôn</v>
      </c>
      <c r="I270" s="92">
        <v>94</v>
      </c>
      <c r="J270" s="46">
        <v>370</v>
      </c>
      <c r="K270" s="46">
        <v>91</v>
      </c>
      <c r="L270" s="47">
        <f t="shared" si="0"/>
        <v>96.808510638297875</v>
      </c>
      <c r="M270" s="45">
        <v>4</v>
      </c>
      <c r="N270" s="48">
        <f t="shared" si="1"/>
        <v>4.2553191489361701</v>
      </c>
      <c r="O270" s="45">
        <v>4</v>
      </c>
      <c r="P270" s="48">
        <f t="shared" si="2"/>
        <v>100</v>
      </c>
      <c r="Q270" s="78" t="s">
        <v>82</v>
      </c>
      <c r="R270" s="78" t="str">
        <f t="shared" si="3"/>
        <v>X</v>
      </c>
      <c r="S270" s="79"/>
      <c r="T270" s="50" t="str">
        <f>IF('PL1(Full)'!$N270&gt;=20,"x",IF(AND('PL1(Full)'!$N270&gt;=15,'PL1(Full)'!$P270&gt;60),"x",""))</f>
        <v/>
      </c>
      <c r="U270" s="50" t="str">
        <f>IF(AND('PL1(Full)'!$H270="Thôn",'PL1(Full)'!$I270&lt;75),"x",IF(AND('PL1(Full)'!$H270="Tổ",'PL1(Full)'!$I270&lt;100),"x","-"))</f>
        <v>-</v>
      </c>
      <c r="V270" s="34" t="str">
        <f>IF(AND('PL1(Full)'!$H270="Thôn",'PL1(Full)'!$I270&lt;140),"x",IF(AND('PL1(Full)'!$H270="Tổ",'PL1(Full)'!$I270&lt;210),"x","-"))</f>
        <v>x</v>
      </c>
      <c r="W270" s="51" t="str">
        <f t="shared" si="41"/>
        <v>Loại 3</v>
      </c>
      <c r="X270" s="43"/>
    </row>
    <row r="271" spans="1:24" ht="15.75" customHeight="1">
      <c r="A271" s="52">
        <f>_xlfn.AGGREGATE(4,7,A$6:A270)+1</f>
        <v>178</v>
      </c>
      <c r="B271" s="53" t="str">
        <f t="shared" si="40"/>
        <v>H. Bạch Thông</v>
      </c>
      <c r="C271" s="14" t="s">
        <v>355</v>
      </c>
      <c r="D271" s="25" t="s">
        <v>36</v>
      </c>
      <c r="E271" s="25" t="s">
        <v>36</v>
      </c>
      <c r="F271" s="14" t="s">
        <v>356</v>
      </c>
      <c r="G271" s="25"/>
      <c r="H271" s="25" t="str">
        <f>IF(LEFT('PL1(Full)'!$F271,4)="Thôn","Thôn","Tổ")</f>
        <v>Thôn</v>
      </c>
      <c r="I271" s="20">
        <v>51</v>
      </c>
      <c r="J271" s="20">
        <v>214</v>
      </c>
      <c r="K271" s="20">
        <v>45</v>
      </c>
      <c r="L271" s="21">
        <f t="shared" si="0"/>
        <v>88.235294117647058</v>
      </c>
      <c r="M271" s="20">
        <v>0</v>
      </c>
      <c r="N271" s="22">
        <f t="shared" si="1"/>
        <v>0</v>
      </c>
      <c r="O271" s="20">
        <v>0</v>
      </c>
      <c r="P271" s="22">
        <f t="shared" si="2"/>
        <v>0</v>
      </c>
      <c r="Q271" s="72" t="s">
        <v>56</v>
      </c>
      <c r="R271" s="72" t="str">
        <f t="shared" si="3"/>
        <v>X</v>
      </c>
      <c r="S271" s="73"/>
      <c r="T271" s="26" t="str">
        <f>IF('PL1(Full)'!$N271&gt;=20,"x",IF(AND('PL1(Full)'!$N271&gt;=15,'PL1(Full)'!$P271&gt;60),"x",""))</f>
        <v/>
      </c>
      <c r="U271" s="27" t="str">
        <f>IF(AND('PL1(Full)'!$H271="Thôn",'PL1(Full)'!$I271&lt;75),"x",IF(AND('PL1(Full)'!$H271="Tổ",'PL1(Full)'!$I271&lt;100),"x","-"))</f>
        <v>x</v>
      </c>
      <c r="V271" s="28" t="str">
        <f>IF(AND('PL1(Full)'!$H271="Thôn",'PL1(Full)'!$I271&lt;140),"x",IF(AND('PL1(Full)'!$H271="Tổ",'PL1(Full)'!$I271&lt;210),"x","-"))</f>
        <v>x</v>
      </c>
      <c r="W271" s="29" t="str">
        <f t="shared" si="41"/>
        <v>Loại 3</v>
      </c>
      <c r="X271" s="25"/>
    </row>
    <row r="272" spans="1:24" ht="15.75" customHeight="1">
      <c r="A272" s="30">
        <f>_xlfn.AGGREGATE(4,7,A$6:A271)+1</f>
        <v>179</v>
      </c>
      <c r="B272" s="54" t="str">
        <f t="shared" si="40"/>
        <v>H. Bạch Thông</v>
      </c>
      <c r="C272" s="31" t="str">
        <f t="shared" ref="C272:C281" si="50">C271</f>
        <v>X. Quang Thuận</v>
      </c>
      <c r="D272" s="34"/>
      <c r="E272" s="34" t="s">
        <v>36</v>
      </c>
      <c r="F272" s="31" t="s">
        <v>357</v>
      </c>
      <c r="G272" s="34"/>
      <c r="H272" s="34" t="str">
        <f>IF(LEFT('PL1(Full)'!$F272,4)="Thôn","Thôn","Tổ")</f>
        <v>Thôn</v>
      </c>
      <c r="I272" s="36">
        <v>61</v>
      </c>
      <c r="J272" s="36">
        <v>248</v>
      </c>
      <c r="K272" s="36">
        <v>36</v>
      </c>
      <c r="L272" s="37">
        <f t="shared" si="0"/>
        <v>59.016393442622949</v>
      </c>
      <c r="M272" s="36">
        <v>1</v>
      </c>
      <c r="N272" s="38">
        <f t="shared" si="1"/>
        <v>1.639344262295082</v>
      </c>
      <c r="O272" s="36">
        <v>0</v>
      </c>
      <c r="P272" s="38">
        <f t="shared" si="2"/>
        <v>0</v>
      </c>
      <c r="Q272" s="76" t="s">
        <v>56</v>
      </c>
      <c r="R272" s="76" t="str">
        <f t="shared" si="3"/>
        <v>X</v>
      </c>
      <c r="S272" s="77"/>
      <c r="T272" s="34" t="str">
        <f>IF('PL1(Full)'!$N272&gt;=20,"x",IF(AND('PL1(Full)'!$N272&gt;=15,'PL1(Full)'!$P272&gt;60),"x",""))</f>
        <v/>
      </c>
      <c r="U272" s="34" t="str">
        <f>IF(AND('PL1(Full)'!$H272="Thôn",'PL1(Full)'!$I272&lt;75),"x",IF(AND('PL1(Full)'!$H272="Tổ",'PL1(Full)'!$I272&lt;100),"x","-"))</f>
        <v>x</v>
      </c>
      <c r="V272" s="34" t="str">
        <f>IF(AND('PL1(Full)'!$H272="Thôn",'PL1(Full)'!$I272&lt;140),"x",IF(AND('PL1(Full)'!$H272="Tổ",'PL1(Full)'!$I272&lt;210),"x","-"))</f>
        <v>x</v>
      </c>
      <c r="W272" s="40" t="str">
        <f t="shared" si="41"/>
        <v>Loại 3</v>
      </c>
      <c r="X272" s="34"/>
    </row>
    <row r="273" spans="1:24" ht="15.75" customHeight="1">
      <c r="A273" s="30">
        <f>_xlfn.AGGREGATE(4,7,A$6:A272)+1</f>
        <v>180</v>
      </c>
      <c r="B273" s="54" t="str">
        <f t="shared" si="40"/>
        <v>H. Bạch Thông</v>
      </c>
      <c r="C273" s="31" t="str">
        <f t="shared" si="50"/>
        <v>X. Quang Thuận</v>
      </c>
      <c r="D273" s="34"/>
      <c r="E273" s="34" t="s">
        <v>36</v>
      </c>
      <c r="F273" s="31" t="s">
        <v>358</v>
      </c>
      <c r="G273" s="34"/>
      <c r="H273" s="34" t="str">
        <f>IF(LEFT('PL1(Full)'!$F273,4)="Thôn","Thôn","Tổ")</f>
        <v>Thôn</v>
      </c>
      <c r="I273" s="36">
        <v>58</v>
      </c>
      <c r="J273" s="36">
        <v>258</v>
      </c>
      <c r="K273" s="36">
        <v>58</v>
      </c>
      <c r="L273" s="37">
        <f t="shared" si="0"/>
        <v>100</v>
      </c>
      <c r="M273" s="36">
        <v>1</v>
      </c>
      <c r="N273" s="38">
        <f t="shared" si="1"/>
        <v>1.7241379310344827</v>
      </c>
      <c r="O273" s="36">
        <v>1</v>
      </c>
      <c r="P273" s="38">
        <f t="shared" si="2"/>
        <v>100</v>
      </c>
      <c r="Q273" s="76" t="s">
        <v>56</v>
      </c>
      <c r="R273" s="76" t="str">
        <f t="shared" si="3"/>
        <v>X</v>
      </c>
      <c r="S273" s="77"/>
      <c r="T273" s="34" t="str">
        <f>IF('PL1(Full)'!$N273&gt;=20,"x",IF(AND('PL1(Full)'!$N273&gt;=15,'PL1(Full)'!$P273&gt;60),"x",""))</f>
        <v/>
      </c>
      <c r="U273" s="34" t="str">
        <f>IF(AND('PL1(Full)'!$H273="Thôn",'PL1(Full)'!$I273&lt;75),"x",IF(AND('PL1(Full)'!$H273="Tổ",'PL1(Full)'!$I273&lt;100),"x","-"))</f>
        <v>x</v>
      </c>
      <c r="V273" s="34" t="str">
        <f>IF(AND('PL1(Full)'!$H273="Thôn",'PL1(Full)'!$I273&lt;140),"x",IF(AND('PL1(Full)'!$H273="Tổ",'PL1(Full)'!$I273&lt;210),"x","-"))</f>
        <v>x</v>
      </c>
      <c r="W273" s="40" t="str">
        <f t="shared" si="41"/>
        <v>Loại 3</v>
      </c>
      <c r="X273" s="34"/>
    </row>
    <row r="274" spans="1:24" ht="15.75" customHeight="1">
      <c r="A274" s="30">
        <f>_xlfn.AGGREGATE(4,7,A$6:A273)+1</f>
        <v>181</v>
      </c>
      <c r="B274" s="54" t="str">
        <f t="shared" si="40"/>
        <v>H. Bạch Thông</v>
      </c>
      <c r="C274" s="31" t="str">
        <f t="shared" si="50"/>
        <v>X. Quang Thuận</v>
      </c>
      <c r="D274" s="34"/>
      <c r="E274" s="34" t="s">
        <v>36</v>
      </c>
      <c r="F274" s="31" t="s">
        <v>359</v>
      </c>
      <c r="G274" s="34"/>
      <c r="H274" s="34" t="str">
        <f>IF(LEFT('PL1(Full)'!$F274,4)="Thôn","Thôn","Tổ")</f>
        <v>Thôn</v>
      </c>
      <c r="I274" s="36">
        <v>34</v>
      </c>
      <c r="J274" s="36">
        <v>139</v>
      </c>
      <c r="K274" s="36">
        <v>34</v>
      </c>
      <c r="L274" s="37">
        <f t="shared" si="0"/>
        <v>100</v>
      </c>
      <c r="M274" s="36">
        <v>1</v>
      </c>
      <c r="N274" s="38">
        <f t="shared" si="1"/>
        <v>2.9411764705882355</v>
      </c>
      <c r="O274" s="36">
        <v>1</v>
      </c>
      <c r="P274" s="38">
        <f t="shared" si="2"/>
        <v>100</v>
      </c>
      <c r="Q274" s="76" t="s">
        <v>63</v>
      </c>
      <c r="R274" s="76" t="str">
        <f t="shared" si="3"/>
        <v>X</v>
      </c>
      <c r="S274" s="77"/>
      <c r="T274" s="34" t="str">
        <f>IF('PL1(Full)'!$N274&gt;=20,"x",IF(AND('PL1(Full)'!$N274&gt;=15,'PL1(Full)'!$P274&gt;60),"x",""))</f>
        <v/>
      </c>
      <c r="U274" s="34" t="str">
        <f>IF(AND('PL1(Full)'!$H274="Thôn",'PL1(Full)'!$I274&lt;75),"x",IF(AND('PL1(Full)'!$H274="Tổ",'PL1(Full)'!$I274&lt;100),"x","-"))</f>
        <v>x</v>
      </c>
      <c r="V274" s="34" t="str">
        <f>IF(AND('PL1(Full)'!$H274="Thôn",'PL1(Full)'!$I274&lt;140),"x",IF(AND('PL1(Full)'!$H274="Tổ",'PL1(Full)'!$I274&lt;210),"x","-"))</f>
        <v>x</v>
      </c>
      <c r="W274" s="40" t="str">
        <f t="shared" si="41"/>
        <v>Loại 3</v>
      </c>
      <c r="X274" s="34"/>
    </row>
    <row r="275" spans="1:24" ht="15.75" customHeight="1">
      <c r="A275" s="30">
        <f>_xlfn.AGGREGATE(4,7,A$6:A274)+1</f>
        <v>182</v>
      </c>
      <c r="B275" s="54" t="str">
        <f t="shared" si="40"/>
        <v>H. Bạch Thông</v>
      </c>
      <c r="C275" s="31" t="str">
        <f t="shared" si="50"/>
        <v>X. Quang Thuận</v>
      </c>
      <c r="D275" s="34"/>
      <c r="E275" s="34" t="s">
        <v>36</v>
      </c>
      <c r="F275" s="31" t="s">
        <v>360</v>
      </c>
      <c r="G275" s="34"/>
      <c r="H275" s="34" t="str">
        <f>IF(LEFT('PL1(Full)'!$F275,4)="Thôn","Thôn","Tổ")</f>
        <v>Thôn</v>
      </c>
      <c r="I275" s="36">
        <v>51</v>
      </c>
      <c r="J275" s="36">
        <v>206</v>
      </c>
      <c r="K275" s="36">
        <v>50</v>
      </c>
      <c r="L275" s="37">
        <f t="shared" si="0"/>
        <v>98.039215686274517</v>
      </c>
      <c r="M275" s="36">
        <v>10</v>
      </c>
      <c r="N275" s="38">
        <f t="shared" si="1"/>
        <v>19.607843137254903</v>
      </c>
      <c r="O275" s="36">
        <v>9</v>
      </c>
      <c r="P275" s="38">
        <f t="shared" si="2"/>
        <v>90</v>
      </c>
      <c r="Q275" s="76" t="s">
        <v>158</v>
      </c>
      <c r="R275" s="76" t="str">
        <f t="shared" si="3"/>
        <v>X</v>
      </c>
      <c r="S275" s="77"/>
      <c r="T275" s="34" t="str">
        <f>IF('PL1(Full)'!$N275&gt;=20,"x",IF(AND('PL1(Full)'!$N275&gt;=15,'PL1(Full)'!$P275&gt;60),"x",""))</f>
        <v>x</v>
      </c>
      <c r="U275" s="34" t="str">
        <f>IF(AND('PL1(Full)'!$H275="Thôn",'PL1(Full)'!$I275&lt;75),"x",IF(AND('PL1(Full)'!$H275="Tổ",'PL1(Full)'!$I275&lt;100),"x","-"))</f>
        <v>x</v>
      </c>
      <c r="V275" s="34" t="str">
        <f>IF(AND('PL1(Full)'!$H275="Thôn",'PL1(Full)'!$I275&lt;140),"x",IF(AND('PL1(Full)'!$H275="Tổ",'PL1(Full)'!$I275&lt;210),"x","-"))</f>
        <v>x</v>
      </c>
      <c r="W275" s="40" t="str">
        <f t="shared" si="41"/>
        <v>Loại 3</v>
      </c>
      <c r="X275" s="34"/>
    </row>
    <row r="276" spans="1:24" ht="15.75" customHeight="1">
      <c r="A276" s="30">
        <f>_xlfn.AGGREGATE(4,7,A$6:A275)+1</f>
        <v>183</v>
      </c>
      <c r="B276" s="54" t="str">
        <f t="shared" si="40"/>
        <v>H. Bạch Thông</v>
      </c>
      <c r="C276" s="31" t="str">
        <f t="shared" si="50"/>
        <v>X. Quang Thuận</v>
      </c>
      <c r="D276" s="34"/>
      <c r="E276" s="34" t="s">
        <v>36</v>
      </c>
      <c r="F276" s="31" t="s">
        <v>361</v>
      </c>
      <c r="G276" s="34"/>
      <c r="H276" s="34" t="str">
        <f>IF(LEFT('PL1(Full)'!$F276,4)="Thôn","Thôn","Tổ")</f>
        <v>Thôn</v>
      </c>
      <c r="I276" s="36">
        <v>45</v>
      </c>
      <c r="J276" s="93">
        <v>178</v>
      </c>
      <c r="K276" s="36">
        <v>43</v>
      </c>
      <c r="L276" s="37">
        <f t="shared" si="0"/>
        <v>95.555555555555557</v>
      </c>
      <c r="M276" s="36">
        <v>2</v>
      </c>
      <c r="N276" s="38">
        <f t="shared" si="1"/>
        <v>4.4444444444444446</v>
      </c>
      <c r="O276" s="36">
        <v>1</v>
      </c>
      <c r="P276" s="38">
        <f t="shared" si="2"/>
        <v>50</v>
      </c>
      <c r="Q276" s="76" t="s">
        <v>158</v>
      </c>
      <c r="R276" s="76" t="str">
        <f t="shared" si="3"/>
        <v>X</v>
      </c>
      <c r="S276" s="77"/>
      <c r="T276" s="34" t="str">
        <f>IF('PL1(Full)'!$N276&gt;=20,"x",IF(AND('PL1(Full)'!$N276&gt;=15,'PL1(Full)'!$P276&gt;60),"x",""))</f>
        <v/>
      </c>
      <c r="U276" s="34" t="str">
        <f>IF(AND('PL1(Full)'!$H276="Thôn",'PL1(Full)'!$I276&lt;75),"x",IF(AND('PL1(Full)'!$H276="Tổ",'PL1(Full)'!$I276&lt;100),"x","-"))</f>
        <v>x</v>
      </c>
      <c r="V276" s="34" t="str">
        <f>IF(AND('PL1(Full)'!$H276="Thôn",'PL1(Full)'!$I276&lt;140),"x",IF(AND('PL1(Full)'!$H276="Tổ",'PL1(Full)'!$I276&lt;210),"x","-"))</f>
        <v>x</v>
      </c>
      <c r="W276" s="40" t="str">
        <f t="shared" si="41"/>
        <v>Loại 3</v>
      </c>
      <c r="X276" s="34"/>
    </row>
    <row r="277" spans="1:24" ht="15.75" customHeight="1">
      <c r="A277" s="30">
        <f>_xlfn.AGGREGATE(4,7,A$6:A276)+1</f>
        <v>184</v>
      </c>
      <c r="B277" s="54" t="str">
        <f t="shared" si="40"/>
        <v>H. Bạch Thông</v>
      </c>
      <c r="C277" s="31" t="str">
        <f t="shared" si="50"/>
        <v>X. Quang Thuận</v>
      </c>
      <c r="D277" s="34"/>
      <c r="E277" s="34" t="s">
        <v>36</v>
      </c>
      <c r="F277" s="31" t="s">
        <v>362</v>
      </c>
      <c r="G277" s="34"/>
      <c r="H277" s="34" t="str">
        <f>IF(LEFT('PL1(Full)'!$F277,4)="Thôn","Thôn","Tổ")</f>
        <v>Thôn</v>
      </c>
      <c r="I277" s="36">
        <v>41</v>
      </c>
      <c r="J277" s="36">
        <v>178</v>
      </c>
      <c r="K277" s="36">
        <v>40</v>
      </c>
      <c r="L277" s="37">
        <f t="shared" si="0"/>
        <v>97.560975609756099</v>
      </c>
      <c r="M277" s="36">
        <v>1</v>
      </c>
      <c r="N277" s="38">
        <f t="shared" si="1"/>
        <v>2.4390243902439024</v>
      </c>
      <c r="O277" s="36">
        <v>1</v>
      </c>
      <c r="P277" s="38">
        <f t="shared" si="2"/>
        <v>100</v>
      </c>
      <c r="Q277" s="76" t="s">
        <v>82</v>
      </c>
      <c r="R277" s="76" t="str">
        <f t="shared" si="3"/>
        <v>X</v>
      </c>
      <c r="S277" s="77"/>
      <c r="T277" s="34" t="str">
        <f>IF('PL1(Full)'!$N277&gt;=20,"x",IF(AND('PL1(Full)'!$N277&gt;=15,'PL1(Full)'!$P277&gt;60),"x",""))</f>
        <v/>
      </c>
      <c r="U277" s="34" t="str">
        <f>IF(AND('PL1(Full)'!$H277="Thôn",'PL1(Full)'!$I277&lt;75),"x",IF(AND('PL1(Full)'!$H277="Tổ",'PL1(Full)'!$I277&lt;100),"x","-"))</f>
        <v>x</v>
      </c>
      <c r="V277" s="34" t="str">
        <f>IF(AND('PL1(Full)'!$H277="Thôn",'PL1(Full)'!$I277&lt;140),"x",IF(AND('PL1(Full)'!$H277="Tổ",'PL1(Full)'!$I277&lt;210),"x","-"))</f>
        <v>x</v>
      </c>
      <c r="W277" s="40" t="str">
        <f t="shared" si="41"/>
        <v>Loại 3</v>
      </c>
      <c r="X277" s="34"/>
    </row>
    <row r="278" spans="1:24" ht="15.75" customHeight="1">
      <c r="A278" s="30">
        <f>_xlfn.AGGREGATE(4,7,A$6:A277)+1</f>
        <v>185</v>
      </c>
      <c r="B278" s="54" t="str">
        <f t="shared" si="40"/>
        <v>H. Bạch Thông</v>
      </c>
      <c r="C278" s="31" t="str">
        <f t="shared" si="50"/>
        <v>X. Quang Thuận</v>
      </c>
      <c r="D278" s="34"/>
      <c r="E278" s="34" t="s">
        <v>36</v>
      </c>
      <c r="F278" s="31" t="s">
        <v>363</v>
      </c>
      <c r="G278" s="34"/>
      <c r="H278" s="34" t="str">
        <f>IF(LEFT('PL1(Full)'!$F278,4)="Thôn","Thôn","Tổ")</f>
        <v>Thôn</v>
      </c>
      <c r="I278" s="36">
        <v>42</v>
      </c>
      <c r="J278" s="36">
        <v>142</v>
      </c>
      <c r="K278" s="36">
        <v>37</v>
      </c>
      <c r="L278" s="37">
        <f t="shared" si="0"/>
        <v>88.095238095238102</v>
      </c>
      <c r="M278" s="36">
        <v>4</v>
      </c>
      <c r="N278" s="38">
        <f t="shared" si="1"/>
        <v>9.5238095238095237</v>
      </c>
      <c r="O278" s="36">
        <v>3</v>
      </c>
      <c r="P278" s="38">
        <f t="shared" si="2"/>
        <v>75</v>
      </c>
      <c r="Q278" s="76" t="s">
        <v>158</v>
      </c>
      <c r="R278" s="76" t="str">
        <f t="shared" si="3"/>
        <v>X</v>
      </c>
      <c r="S278" s="77"/>
      <c r="T278" s="34" t="str">
        <f>IF('PL1(Full)'!$N278&gt;=20,"x",IF(AND('PL1(Full)'!$N278&gt;=15,'PL1(Full)'!$P278&gt;60),"x",""))</f>
        <v/>
      </c>
      <c r="U278" s="34" t="str">
        <f>IF(AND('PL1(Full)'!$H278="Thôn",'PL1(Full)'!$I278&lt;75),"x",IF(AND('PL1(Full)'!$H278="Tổ",'PL1(Full)'!$I278&lt;100),"x","-"))</f>
        <v>x</v>
      </c>
      <c r="V278" s="34" t="str">
        <f>IF(AND('PL1(Full)'!$H278="Thôn",'PL1(Full)'!$I278&lt;140),"x",IF(AND('PL1(Full)'!$H278="Tổ",'PL1(Full)'!$I278&lt;210),"x","-"))</f>
        <v>x</v>
      </c>
      <c r="W278" s="40" t="str">
        <f t="shared" si="41"/>
        <v>Loại 3</v>
      </c>
      <c r="X278" s="34"/>
    </row>
    <row r="279" spans="1:24" ht="15.75" customHeight="1">
      <c r="A279" s="30">
        <f>_xlfn.AGGREGATE(4,7,A$6:A278)+1</f>
        <v>186</v>
      </c>
      <c r="B279" s="54" t="str">
        <f t="shared" si="40"/>
        <v>H. Bạch Thông</v>
      </c>
      <c r="C279" s="31" t="str">
        <f t="shared" si="50"/>
        <v>X. Quang Thuận</v>
      </c>
      <c r="D279" s="34"/>
      <c r="E279" s="34" t="s">
        <v>36</v>
      </c>
      <c r="F279" s="31" t="s">
        <v>364</v>
      </c>
      <c r="G279" s="34"/>
      <c r="H279" s="34" t="str">
        <f>IF(LEFT('PL1(Full)'!$F279,4)="Thôn","Thôn","Tổ")</f>
        <v>Thôn</v>
      </c>
      <c r="I279" s="36">
        <v>72</v>
      </c>
      <c r="J279" s="36">
        <v>280</v>
      </c>
      <c r="K279" s="36">
        <v>54</v>
      </c>
      <c r="L279" s="37">
        <f t="shared" si="0"/>
        <v>75</v>
      </c>
      <c r="M279" s="36">
        <v>2</v>
      </c>
      <c r="N279" s="38">
        <f t="shared" si="1"/>
        <v>2.7777777777777777</v>
      </c>
      <c r="O279" s="36">
        <v>1</v>
      </c>
      <c r="P279" s="38">
        <f t="shared" si="2"/>
        <v>50</v>
      </c>
      <c r="Q279" s="76" t="s">
        <v>49</v>
      </c>
      <c r="R279" s="76" t="str">
        <f t="shared" si="3"/>
        <v>X</v>
      </c>
      <c r="S279" s="77"/>
      <c r="T279" s="34" t="str">
        <f>IF('PL1(Full)'!$N279&gt;=20,"x",IF(AND('PL1(Full)'!$N279&gt;=15,'PL1(Full)'!$P279&gt;60),"x",""))</f>
        <v/>
      </c>
      <c r="U279" s="34" t="str">
        <f>IF(AND('PL1(Full)'!$H279="Thôn",'PL1(Full)'!$I279&lt;75),"x",IF(AND('PL1(Full)'!$H279="Tổ",'PL1(Full)'!$I279&lt;100),"x","-"))</f>
        <v>x</v>
      </c>
      <c r="V279" s="34" t="str">
        <f>IF(AND('PL1(Full)'!$H279="Thôn",'PL1(Full)'!$I279&lt;140),"x",IF(AND('PL1(Full)'!$H279="Tổ",'PL1(Full)'!$I279&lt;210),"x","-"))</f>
        <v>x</v>
      </c>
      <c r="W279" s="40" t="str">
        <f t="shared" si="41"/>
        <v>Loại 3</v>
      </c>
      <c r="X279" s="34"/>
    </row>
    <row r="280" spans="1:24" ht="15.75" customHeight="1">
      <c r="A280" s="30">
        <f>_xlfn.AGGREGATE(4,7,A$6:A279)+1</f>
        <v>187</v>
      </c>
      <c r="B280" s="54" t="str">
        <f t="shared" si="40"/>
        <v>H. Bạch Thông</v>
      </c>
      <c r="C280" s="31" t="str">
        <f t="shared" si="50"/>
        <v>X. Quang Thuận</v>
      </c>
      <c r="D280" s="34"/>
      <c r="E280" s="34" t="s">
        <v>36</v>
      </c>
      <c r="F280" s="31" t="s">
        <v>138</v>
      </c>
      <c r="G280" s="34"/>
      <c r="H280" s="34" t="str">
        <f>IF(LEFT('PL1(Full)'!$F280,4)="Thôn","Thôn","Tổ")</f>
        <v>Thôn</v>
      </c>
      <c r="I280" s="36">
        <v>49</v>
      </c>
      <c r="J280" s="36">
        <v>203</v>
      </c>
      <c r="K280" s="36">
        <v>46</v>
      </c>
      <c r="L280" s="37">
        <f t="shared" si="0"/>
        <v>93.877551020408163</v>
      </c>
      <c r="M280" s="36">
        <v>5</v>
      </c>
      <c r="N280" s="38">
        <f t="shared" si="1"/>
        <v>10.204081632653061</v>
      </c>
      <c r="O280" s="36">
        <v>5</v>
      </c>
      <c r="P280" s="38">
        <f t="shared" si="2"/>
        <v>100</v>
      </c>
      <c r="Q280" s="76" t="s">
        <v>56</v>
      </c>
      <c r="R280" s="76" t="str">
        <f t="shared" si="3"/>
        <v>X</v>
      </c>
      <c r="S280" s="77"/>
      <c r="T280" s="34" t="str">
        <f>IF('PL1(Full)'!$N280&gt;=20,"x",IF(AND('PL1(Full)'!$N280&gt;=15,'PL1(Full)'!$P280&gt;60),"x",""))</f>
        <v/>
      </c>
      <c r="U280" s="34" t="str">
        <f>IF(AND('PL1(Full)'!$H280="Thôn",'PL1(Full)'!$I280&lt;75),"x",IF(AND('PL1(Full)'!$H280="Tổ",'PL1(Full)'!$I280&lt;100),"x","-"))</f>
        <v>x</v>
      </c>
      <c r="V280" s="34" t="str">
        <f>IF(AND('PL1(Full)'!$H280="Thôn",'PL1(Full)'!$I280&lt;140),"x",IF(AND('PL1(Full)'!$H280="Tổ",'PL1(Full)'!$I280&lt;210),"x","-"))</f>
        <v>x</v>
      </c>
      <c r="W280" s="40" t="str">
        <f t="shared" si="41"/>
        <v>Loại 3</v>
      </c>
      <c r="X280" s="34"/>
    </row>
    <row r="281" spans="1:24" ht="15.75" customHeight="1">
      <c r="A281" s="41">
        <f>_xlfn.AGGREGATE(4,7,A$6:A280)+1</f>
        <v>188</v>
      </c>
      <c r="B281" s="55" t="str">
        <f t="shared" si="40"/>
        <v>H. Bạch Thông</v>
      </c>
      <c r="C281" s="42" t="str">
        <f t="shared" si="50"/>
        <v>X. Quang Thuận</v>
      </c>
      <c r="D281" s="50"/>
      <c r="E281" s="50" t="s">
        <v>36</v>
      </c>
      <c r="F281" s="42" t="s">
        <v>365</v>
      </c>
      <c r="G281" s="50" t="s">
        <v>40</v>
      </c>
      <c r="H281" s="50" t="str">
        <f>IF(LEFT('PL1(Full)'!$F281,4)="Thôn","Thôn","Tổ")</f>
        <v>Thôn</v>
      </c>
      <c r="I281" s="46">
        <v>23</v>
      </c>
      <c r="J281" s="46">
        <v>96</v>
      </c>
      <c r="K281" s="46">
        <v>16</v>
      </c>
      <c r="L281" s="47">
        <f t="shared" si="0"/>
        <v>69.565217391304344</v>
      </c>
      <c r="M281" s="46">
        <v>0</v>
      </c>
      <c r="N281" s="48">
        <f t="shared" si="1"/>
        <v>0</v>
      </c>
      <c r="O281" s="46">
        <v>0</v>
      </c>
      <c r="P281" s="48">
        <f t="shared" si="2"/>
        <v>0</v>
      </c>
      <c r="Q281" s="78" t="s">
        <v>154</v>
      </c>
      <c r="R281" s="78" t="str">
        <f t="shared" si="3"/>
        <v>X</v>
      </c>
      <c r="S281" s="79"/>
      <c r="T281" s="50"/>
      <c r="U281" s="50" t="str">
        <f>IF(AND('PL1(Full)'!$H281="Thôn",'PL1(Full)'!$I281&lt;75),"x",IF(AND('PL1(Full)'!$H281="Tổ",'PL1(Full)'!$I281&lt;100),"x","-"))</f>
        <v>x</v>
      </c>
      <c r="V281" s="34" t="str">
        <f>IF(AND('PL1(Full)'!$H281="Thôn",'PL1(Full)'!$I281&lt;140),"x",IF(AND('PL1(Full)'!$H281="Tổ",'PL1(Full)'!$I281&lt;210),"x","-"))</f>
        <v>x</v>
      </c>
      <c r="W281" s="51" t="str">
        <f t="shared" si="41"/>
        <v>Loại 3</v>
      </c>
      <c r="X281" s="50"/>
    </row>
    <row r="282" spans="1:24" ht="15.75" customHeight="1">
      <c r="A282" s="52">
        <f>_xlfn.AGGREGATE(4,7,A$6:A281)+1</f>
        <v>189</v>
      </c>
      <c r="B282" s="53" t="str">
        <f t="shared" si="40"/>
        <v>H. Bạch Thông</v>
      </c>
      <c r="C282" s="14" t="s">
        <v>366</v>
      </c>
      <c r="D282" s="25" t="s">
        <v>58</v>
      </c>
      <c r="E282" s="25" t="s">
        <v>58</v>
      </c>
      <c r="F282" s="14" t="s">
        <v>367</v>
      </c>
      <c r="G282" s="25"/>
      <c r="H282" s="25" t="str">
        <f>IF(LEFT('PL1(Full)'!$F282,4)="Thôn","Thôn","Tổ")</f>
        <v>Thôn</v>
      </c>
      <c r="I282" s="20">
        <v>41</v>
      </c>
      <c r="J282" s="20">
        <v>170</v>
      </c>
      <c r="K282" s="20">
        <v>41</v>
      </c>
      <c r="L282" s="21">
        <f t="shared" si="0"/>
        <v>100</v>
      </c>
      <c r="M282" s="19">
        <v>10</v>
      </c>
      <c r="N282" s="22">
        <f t="shared" si="1"/>
        <v>24.390243902439025</v>
      </c>
      <c r="O282" s="19">
        <v>10</v>
      </c>
      <c r="P282" s="22">
        <f t="shared" si="2"/>
        <v>100</v>
      </c>
      <c r="Q282" s="72" t="s">
        <v>56</v>
      </c>
      <c r="R282" s="72" t="str">
        <f t="shared" si="3"/>
        <v>X</v>
      </c>
      <c r="S282" s="73"/>
      <c r="T282" s="26" t="str">
        <f>IF('PL1(Full)'!$N282&gt;=20,"x",IF(AND('PL1(Full)'!$N282&gt;=15,'PL1(Full)'!$P282&gt;60),"x",""))</f>
        <v>x</v>
      </c>
      <c r="U282" s="27" t="str">
        <f>IF(AND('PL1(Full)'!$H282="Thôn",'PL1(Full)'!$I282&lt;75),"x",IF(AND('PL1(Full)'!$H282="Tổ",'PL1(Full)'!$I282&lt;100),"x","-"))</f>
        <v>x</v>
      </c>
      <c r="V282" s="28" t="str">
        <f>IF(AND('PL1(Full)'!$H282="Thôn",'PL1(Full)'!$I282&lt;140),"x",IF(AND('PL1(Full)'!$H282="Tổ",'PL1(Full)'!$I282&lt;210),"x","-"))</f>
        <v>x</v>
      </c>
      <c r="W282" s="29" t="str">
        <f t="shared" si="41"/>
        <v>Loại 3</v>
      </c>
      <c r="X282" s="18"/>
    </row>
    <row r="283" spans="1:24" ht="15.75" customHeight="1">
      <c r="A283" s="30">
        <f>_xlfn.AGGREGATE(4,7,A$6:A282)+1</f>
        <v>190</v>
      </c>
      <c r="B283" s="54" t="str">
        <f t="shared" si="40"/>
        <v>H. Bạch Thông</v>
      </c>
      <c r="C283" s="66" t="str">
        <f t="shared" ref="C283:C292" si="51">C282</f>
        <v>X. Sỹ Bình</v>
      </c>
      <c r="D283" s="34"/>
      <c r="E283" s="34" t="s">
        <v>58</v>
      </c>
      <c r="F283" s="31" t="s">
        <v>368</v>
      </c>
      <c r="G283" s="34"/>
      <c r="H283" s="34" t="str">
        <f>IF(LEFT('PL1(Full)'!$F283,4)="Thôn","Thôn","Tổ")</f>
        <v>Thôn</v>
      </c>
      <c r="I283" s="36">
        <v>41</v>
      </c>
      <c r="J283" s="36">
        <v>176</v>
      </c>
      <c r="K283" s="36">
        <v>41</v>
      </c>
      <c r="L283" s="37">
        <f t="shared" si="0"/>
        <v>100</v>
      </c>
      <c r="M283" s="35">
        <v>12</v>
      </c>
      <c r="N283" s="38">
        <f t="shared" si="1"/>
        <v>29.26829268292683</v>
      </c>
      <c r="O283" s="35">
        <v>12</v>
      </c>
      <c r="P283" s="38">
        <f t="shared" si="2"/>
        <v>100</v>
      </c>
      <c r="Q283" s="76" t="s">
        <v>56</v>
      </c>
      <c r="R283" s="76" t="str">
        <f t="shared" si="3"/>
        <v>X</v>
      </c>
      <c r="S283" s="77"/>
      <c r="T283" s="34" t="str">
        <f>IF('PL1(Full)'!$N283&gt;=20,"x",IF(AND('PL1(Full)'!$N283&gt;=15,'PL1(Full)'!$P283&gt;60),"x",""))</f>
        <v>x</v>
      </c>
      <c r="U283" s="34" t="str">
        <f>IF(AND('PL1(Full)'!$H283="Thôn",'PL1(Full)'!$I283&lt;75),"x",IF(AND('PL1(Full)'!$H283="Tổ",'PL1(Full)'!$I283&lt;100),"x","-"))</f>
        <v>x</v>
      </c>
      <c r="V283" s="34" t="str">
        <f>IF(AND('PL1(Full)'!$H283="Thôn",'PL1(Full)'!$I283&lt;140),"x",IF(AND('PL1(Full)'!$H283="Tổ",'PL1(Full)'!$I283&lt;210),"x","-"))</f>
        <v>x</v>
      </c>
      <c r="W283" s="40" t="str">
        <f t="shared" si="41"/>
        <v>Loại 3</v>
      </c>
      <c r="X283" s="32"/>
    </row>
    <row r="284" spans="1:24" ht="15.75" customHeight="1">
      <c r="A284" s="30">
        <f>_xlfn.AGGREGATE(4,7,A$6:A283)+1</f>
        <v>191</v>
      </c>
      <c r="B284" s="54" t="str">
        <f t="shared" si="40"/>
        <v>H. Bạch Thông</v>
      </c>
      <c r="C284" s="66" t="str">
        <f t="shared" si="51"/>
        <v>X. Sỹ Bình</v>
      </c>
      <c r="D284" s="34"/>
      <c r="E284" s="34" t="s">
        <v>58</v>
      </c>
      <c r="F284" s="31" t="s">
        <v>369</v>
      </c>
      <c r="G284" s="34"/>
      <c r="H284" s="34" t="str">
        <f>IF(LEFT('PL1(Full)'!$F284,4)="Thôn","Thôn","Tổ")</f>
        <v>Thôn</v>
      </c>
      <c r="I284" s="36">
        <v>34</v>
      </c>
      <c r="J284" s="36">
        <v>146</v>
      </c>
      <c r="K284" s="36">
        <v>34</v>
      </c>
      <c r="L284" s="37">
        <f t="shared" si="0"/>
        <v>100</v>
      </c>
      <c r="M284" s="35">
        <v>15</v>
      </c>
      <c r="N284" s="38">
        <f t="shared" si="1"/>
        <v>44.117647058823529</v>
      </c>
      <c r="O284" s="35">
        <v>15</v>
      </c>
      <c r="P284" s="38">
        <f t="shared" si="2"/>
        <v>100</v>
      </c>
      <c r="Q284" s="76" t="s">
        <v>56</v>
      </c>
      <c r="R284" s="76" t="str">
        <f t="shared" si="3"/>
        <v>X</v>
      </c>
      <c r="S284" s="77"/>
      <c r="T284" s="34" t="str">
        <f>IF('PL1(Full)'!$N284&gt;=20,"x",IF(AND('PL1(Full)'!$N284&gt;=15,'PL1(Full)'!$P284&gt;60),"x",""))</f>
        <v>x</v>
      </c>
      <c r="U284" s="34" t="str">
        <f>IF(AND('PL1(Full)'!$H284="Thôn",'PL1(Full)'!$I284&lt;75),"x",IF(AND('PL1(Full)'!$H284="Tổ",'PL1(Full)'!$I284&lt;100),"x","-"))</f>
        <v>x</v>
      </c>
      <c r="V284" s="34" t="str">
        <f>IF(AND('PL1(Full)'!$H284="Thôn",'PL1(Full)'!$I284&lt;140),"x",IF(AND('PL1(Full)'!$H284="Tổ",'PL1(Full)'!$I284&lt;210),"x","-"))</f>
        <v>x</v>
      </c>
      <c r="W284" s="40" t="str">
        <f t="shared" si="41"/>
        <v>Loại 3</v>
      </c>
      <c r="X284" s="32"/>
    </row>
    <row r="285" spans="1:24" ht="15.75" customHeight="1">
      <c r="A285" s="30">
        <f>_xlfn.AGGREGATE(4,7,A$6:A284)+1</f>
        <v>192</v>
      </c>
      <c r="B285" s="54" t="str">
        <f t="shared" si="40"/>
        <v>H. Bạch Thông</v>
      </c>
      <c r="C285" s="66" t="str">
        <f t="shared" si="51"/>
        <v>X. Sỹ Bình</v>
      </c>
      <c r="D285" s="34"/>
      <c r="E285" s="34" t="s">
        <v>58</v>
      </c>
      <c r="F285" s="31" t="s">
        <v>370</v>
      </c>
      <c r="G285" s="34"/>
      <c r="H285" s="34" t="str">
        <f>IF(LEFT('PL1(Full)'!$F285,4)="Thôn","Thôn","Tổ")</f>
        <v>Thôn</v>
      </c>
      <c r="I285" s="36">
        <v>51</v>
      </c>
      <c r="J285" s="36">
        <v>189</v>
      </c>
      <c r="K285" s="36">
        <v>51</v>
      </c>
      <c r="L285" s="37">
        <f t="shared" si="0"/>
        <v>100</v>
      </c>
      <c r="M285" s="35">
        <v>24</v>
      </c>
      <c r="N285" s="38">
        <f t="shared" si="1"/>
        <v>47.058823529411768</v>
      </c>
      <c r="O285" s="35">
        <v>24</v>
      </c>
      <c r="P285" s="38">
        <f t="shared" si="2"/>
        <v>100</v>
      </c>
      <c r="Q285" s="74" t="s">
        <v>56</v>
      </c>
      <c r="R285" s="74" t="str">
        <f t="shared" si="3"/>
        <v>X</v>
      </c>
      <c r="S285" s="75" t="s">
        <v>60</v>
      </c>
      <c r="T285" s="34" t="str">
        <f>IF('PL1(Full)'!$N285&gt;=20,"x",IF(AND('PL1(Full)'!$N285&gt;=15,'PL1(Full)'!$P285&gt;60),"x",""))</f>
        <v>x</v>
      </c>
      <c r="U285" s="34" t="str">
        <f>IF(AND('PL1(Full)'!$H285="Thôn",'PL1(Full)'!$I285&lt;75),"x",IF(AND('PL1(Full)'!$H285="Tổ",'PL1(Full)'!$I285&lt;100),"x","-"))</f>
        <v>x</v>
      </c>
      <c r="V285" s="34" t="str">
        <f>IF(AND('PL1(Full)'!$H285="Thôn",'PL1(Full)'!$I285&lt;140),"x",IF(AND('PL1(Full)'!$H285="Tổ",'PL1(Full)'!$I285&lt;210),"x","-"))</f>
        <v>x</v>
      </c>
      <c r="W285" s="40" t="str">
        <f t="shared" si="41"/>
        <v>Loại 3</v>
      </c>
      <c r="X285" s="32"/>
    </row>
    <row r="286" spans="1:24" ht="15.75" customHeight="1">
      <c r="A286" s="30">
        <f>_xlfn.AGGREGATE(4,7,A$6:A285)+1</f>
        <v>193</v>
      </c>
      <c r="B286" s="54" t="str">
        <f t="shared" si="40"/>
        <v>H. Bạch Thông</v>
      </c>
      <c r="C286" s="66" t="str">
        <f t="shared" si="51"/>
        <v>X. Sỹ Bình</v>
      </c>
      <c r="D286" s="34"/>
      <c r="E286" s="34" t="s">
        <v>58</v>
      </c>
      <c r="F286" s="31" t="s">
        <v>371</v>
      </c>
      <c r="G286" s="34"/>
      <c r="H286" s="34" t="str">
        <f>IF(LEFT('PL1(Full)'!$F286,4)="Thôn","Thôn","Tổ")</f>
        <v>Thôn</v>
      </c>
      <c r="I286" s="36">
        <v>56</v>
      </c>
      <c r="J286" s="36">
        <v>238</v>
      </c>
      <c r="K286" s="36">
        <v>56</v>
      </c>
      <c r="L286" s="37">
        <f t="shared" si="0"/>
        <v>100</v>
      </c>
      <c r="M286" s="35">
        <v>12</v>
      </c>
      <c r="N286" s="38">
        <f t="shared" si="1"/>
        <v>21.428571428571427</v>
      </c>
      <c r="O286" s="35">
        <v>12</v>
      </c>
      <c r="P286" s="38">
        <f t="shared" si="2"/>
        <v>100</v>
      </c>
      <c r="Q286" s="74" t="s">
        <v>56</v>
      </c>
      <c r="R286" s="74" t="str">
        <f t="shared" si="3"/>
        <v>X</v>
      </c>
      <c r="S286" s="75" t="s">
        <v>60</v>
      </c>
      <c r="T286" s="34" t="str">
        <f>IF('PL1(Full)'!$N286&gt;=20,"x",IF(AND('PL1(Full)'!$N286&gt;=15,'PL1(Full)'!$P286&gt;60),"x",""))</f>
        <v>x</v>
      </c>
      <c r="U286" s="34" t="str">
        <f>IF(AND('PL1(Full)'!$H286="Thôn",'PL1(Full)'!$I286&lt;75),"x",IF(AND('PL1(Full)'!$H286="Tổ",'PL1(Full)'!$I286&lt;100),"x","-"))</f>
        <v>x</v>
      </c>
      <c r="V286" s="34" t="str">
        <f>IF(AND('PL1(Full)'!$H286="Thôn",'PL1(Full)'!$I286&lt;140),"x",IF(AND('PL1(Full)'!$H286="Tổ",'PL1(Full)'!$I286&lt;210),"x","-"))</f>
        <v>x</v>
      </c>
      <c r="W286" s="40" t="str">
        <f t="shared" si="41"/>
        <v>Loại 3</v>
      </c>
      <c r="X286" s="32"/>
    </row>
    <row r="287" spans="1:24" ht="15.75" customHeight="1">
      <c r="A287" s="30">
        <f>_xlfn.AGGREGATE(4,7,A$6:A286)+1</f>
        <v>194</v>
      </c>
      <c r="B287" s="54" t="str">
        <f t="shared" si="40"/>
        <v>H. Bạch Thông</v>
      </c>
      <c r="C287" s="66" t="str">
        <f t="shared" si="51"/>
        <v>X. Sỹ Bình</v>
      </c>
      <c r="D287" s="34"/>
      <c r="E287" s="34" t="s">
        <v>58</v>
      </c>
      <c r="F287" s="31" t="s">
        <v>372</v>
      </c>
      <c r="G287" s="34"/>
      <c r="H287" s="34" t="str">
        <f>IF(LEFT('PL1(Full)'!$F287,4)="Thôn","Thôn","Tổ")</f>
        <v>Thôn</v>
      </c>
      <c r="I287" s="36">
        <v>38</v>
      </c>
      <c r="J287" s="36">
        <v>167</v>
      </c>
      <c r="K287" s="36">
        <v>38</v>
      </c>
      <c r="L287" s="37">
        <f t="shared" si="0"/>
        <v>100</v>
      </c>
      <c r="M287" s="35">
        <v>11</v>
      </c>
      <c r="N287" s="38">
        <f t="shared" si="1"/>
        <v>28.94736842105263</v>
      </c>
      <c r="O287" s="35">
        <v>11</v>
      </c>
      <c r="P287" s="38">
        <f t="shared" si="2"/>
        <v>100</v>
      </c>
      <c r="Q287" s="76" t="s">
        <v>56</v>
      </c>
      <c r="R287" s="76" t="str">
        <f t="shared" si="3"/>
        <v>X</v>
      </c>
      <c r="S287" s="77" t="s">
        <v>60</v>
      </c>
      <c r="T287" s="34" t="str">
        <f>IF('PL1(Full)'!$N287&gt;=20,"x",IF(AND('PL1(Full)'!$N287&gt;=15,'PL1(Full)'!$P287&gt;60),"x",""))</f>
        <v>x</v>
      </c>
      <c r="U287" s="34" t="str">
        <f>IF(AND('PL1(Full)'!$H287="Thôn",'PL1(Full)'!$I287&lt;75),"x",IF(AND('PL1(Full)'!$H287="Tổ",'PL1(Full)'!$I287&lt;100),"x","-"))</f>
        <v>x</v>
      </c>
      <c r="V287" s="34" t="str">
        <f>IF(AND('PL1(Full)'!$H287="Thôn",'PL1(Full)'!$I287&lt;140),"x",IF(AND('PL1(Full)'!$H287="Tổ",'PL1(Full)'!$I287&lt;210),"x","-"))</f>
        <v>x</v>
      </c>
      <c r="W287" s="40" t="str">
        <f t="shared" si="41"/>
        <v>Loại 3</v>
      </c>
      <c r="X287" s="32"/>
    </row>
    <row r="288" spans="1:24" ht="15.75" customHeight="1">
      <c r="A288" s="30">
        <f>_xlfn.AGGREGATE(4,7,A$6:A287)+1</f>
        <v>195</v>
      </c>
      <c r="B288" s="54" t="str">
        <f t="shared" si="40"/>
        <v>H. Bạch Thông</v>
      </c>
      <c r="C288" s="66" t="str">
        <f t="shared" si="51"/>
        <v>X. Sỹ Bình</v>
      </c>
      <c r="D288" s="34"/>
      <c r="E288" s="34" t="s">
        <v>58</v>
      </c>
      <c r="F288" s="31" t="s">
        <v>373</v>
      </c>
      <c r="G288" s="34"/>
      <c r="H288" s="34" t="str">
        <f>IF(LEFT('PL1(Full)'!$F288,4)="Thôn","Thôn","Tổ")</f>
        <v>Thôn</v>
      </c>
      <c r="I288" s="36">
        <v>36</v>
      </c>
      <c r="J288" s="36">
        <v>135</v>
      </c>
      <c r="K288" s="36">
        <v>32</v>
      </c>
      <c r="L288" s="37">
        <f t="shared" si="0"/>
        <v>88.888888888888886</v>
      </c>
      <c r="M288" s="35">
        <v>4</v>
      </c>
      <c r="N288" s="38">
        <f t="shared" si="1"/>
        <v>11.111111111111111</v>
      </c>
      <c r="O288" s="35">
        <v>4</v>
      </c>
      <c r="P288" s="38">
        <f t="shared" si="2"/>
        <v>100</v>
      </c>
      <c r="Q288" s="74" t="s">
        <v>56</v>
      </c>
      <c r="R288" s="74" t="str">
        <f t="shared" si="3"/>
        <v>X</v>
      </c>
      <c r="S288" s="75"/>
      <c r="T288" s="34" t="str">
        <f>IF('PL1(Full)'!$N288&gt;=20,"x",IF(AND('PL1(Full)'!$N288&gt;=15,'PL1(Full)'!$P288&gt;60),"x",""))</f>
        <v/>
      </c>
      <c r="U288" s="34" t="str">
        <f>IF(AND('PL1(Full)'!$H288="Thôn",'PL1(Full)'!$I288&lt;75),"x",IF(AND('PL1(Full)'!$H288="Tổ",'PL1(Full)'!$I288&lt;100),"x","-"))</f>
        <v>x</v>
      </c>
      <c r="V288" s="34" t="str">
        <f>IF(AND('PL1(Full)'!$H288="Thôn",'PL1(Full)'!$I288&lt;140),"x",IF(AND('PL1(Full)'!$H288="Tổ",'PL1(Full)'!$I288&lt;210),"x","-"))</f>
        <v>x</v>
      </c>
      <c r="W288" s="40" t="str">
        <f t="shared" si="41"/>
        <v>Loại 3</v>
      </c>
      <c r="X288" s="32"/>
    </row>
    <row r="289" spans="1:24" ht="15.75" hidden="1" customHeight="1">
      <c r="A289" s="30">
        <f>_xlfn.AGGREGATE(4,7,A$6:A288)+1</f>
        <v>196</v>
      </c>
      <c r="B289" s="54" t="str">
        <f t="shared" si="40"/>
        <v>H. Bạch Thông</v>
      </c>
      <c r="C289" s="66" t="str">
        <f t="shared" si="51"/>
        <v>X. Sỹ Bình</v>
      </c>
      <c r="D289" s="34"/>
      <c r="E289" s="34" t="s">
        <v>58</v>
      </c>
      <c r="F289" s="31" t="s">
        <v>362</v>
      </c>
      <c r="G289" s="34"/>
      <c r="H289" s="34" t="str">
        <f>IF(LEFT('PL1(Full)'!$F289,4)="Thôn","Thôn","Tổ")</f>
        <v>Thôn</v>
      </c>
      <c r="I289" s="36">
        <v>77</v>
      </c>
      <c r="J289" s="36">
        <v>323</v>
      </c>
      <c r="K289" s="36">
        <v>77</v>
      </c>
      <c r="L289" s="37">
        <f t="shared" si="0"/>
        <v>100</v>
      </c>
      <c r="M289" s="35">
        <v>22</v>
      </c>
      <c r="N289" s="38">
        <f t="shared" si="1"/>
        <v>28.571428571428573</v>
      </c>
      <c r="O289" s="35">
        <v>22</v>
      </c>
      <c r="P289" s="38">
        <f t="shared" si="2"/>
        <v>100</v>
      </c>
      <c r="Q289" s="74" t="s">
        <v>56</v>
      </c>
      <c r="R289" s="74" t="str">
        <f t="shared" si="3"/>
        <v>X</v>
      </c>
      <c r="S289" s="75" t="s">
        <v>60</v>
      </c>
      <c r="T289" s="34" t="str">
        <f>IF('PL1(Full)'!$N289&gt;=20,"x",IF(AND('PL1(Full)'!$N289&gt;=15,'PL1(Full)'!$P289&gt;60),"x",""))</f>
        <v>x</v>
      </c>
      <c r="U289" s="34" t="str">
        <f>IF(AND('PL1(Full)'!$H289="Thôn",'PL1(Full)'!$I289&lt;75),"x",IF(AND('PL1(Full)'!$H289="Tổ",'PL1(Full)'!$I289&lt;100),"x","-"))</f>
        <v>-</v>
      </c>
      <c r="V289" s="34" t="str">
        <f>IF(AND('PL1(Full)'!$H289="Thôn",'PL1(Full)'!$I289&lt;140),"x",IF(AND('PL1(Full)'!$H289="Tổ",'PL1(Full)'!$I289&lt;210),"x","-"))</f>
        <v>x</v>
      </c>
      <c r="W289" s="40" t="str">
        <f t="shared" si="41"/>
        <v>Loại 3</v>
      </c>
      <c r="X289" s="32"/>
    </row>
    <row r="290" spans="1:24" ht="15.75" customHeight="1">
      <c r="A290" s="30">
        <f>_xlfn.AGGREGATE(4,7,A$6:A289)+1</f>
        <v>196</v>
      </c>
      <c r="B290" s="54" t="str">
        <f t="shared" si="40"/>
        <v>H. Bạch Thông</v>
      </c>
      <c r="C290" s="66" t="str">
        <f t="shared" si="51"/>
        <v>X. Sỹ Bình</v>
      </c>
      <c r="D290" s="34"/>
      <c r="E290" s="34" t="s">
        <v>58</v>
      </c>
      <c r="F290" s="31" t="s">
        <v>374</v>
      </c>
      <c r="G290" s="34"/>
      <c r="H290" s="34" t="str">
        <f>IF(LEFT('PL1(Full)'!$F290,4)="Thôn","Thôn","Tổ")</f>
        <v>Thôn</v>
      </c>
      <c r="I290" s="36">
        <v>26</v>
      </c>
      <c r="J290" s="36">
        <v>98</v>
      </c>
      <c r="K290" s="36">
        <v>26</v>
      </c>
      <c r="L290" s="37">
        <f t="shared" si="0"/>
        <v>100</v>
      </c>
      <c r="M290" s="35">
        <v>16</v>
      </c>
      <c r="N290" s="38">
        <f t="shared" si="1"/>
        <v>61.53846153846154</v>
      </c>
      <c r="O290" s="35">
        <v>16</v>
      </c>
      <c r="P290" s="38">
        <f t="shared" si="2"/>
        <v>100</v>
      </c>
      <c r="Q290" s="76" t="s">
        <v>56</v>
      </c>
      <c r="R290" s="76" t="str">
        <f t="shared" si="3"/>
        <v>X</v>
      </c>
      <c r="S290" s="77" t="s">
        <v>60</v>
      </c>
      <c r="T290" s="34" t="str">
        <f>IF('PL1(Full)'!$N290&gt;=20,"x",IF(AND('PL1(Full)'!$N290&gt;=15,'PL1(Full)'!$P290&gt;60),"x",""))</f>
        <v>x</v>
      </c>
      <c r="U290" s="34" t="str">
        <f>IF(AND('PL1(Full)'!$H290="Thôn",'PL1(Full)'!$I290&lt;75),"x",IF(AND('PL1(Full)'!$H290="Tổ",'PL1(Full)'!$I290&lt;100),"x","-"))</f>
        <v>x</v>
      </c>
      <c r="V290" s="34" t="str">
        <f>IF(AND('PL1(Full)'!$H290="Thôn",'PL1(Full)'!$I290&lt;140),"x",IF(AND('PL1(Full)'!$H290="Tổ",'PL1(Full)'!$I290&lt;210),"x","-"))</f>
        <v>x</v>
      </c>
      <c r="W290" s="40" t="str">
        <f t="shared" si="41"/>
        <v>Loại 3</v>
      </c>
      <c r="X290" s="32"/>
    </row>
    <row r="291" spans="1:24" ht="15.75" customHeight="1">
      <c r="A291" s="30">
        <f>_xlfn.AGGREGATE(4,7,A$6:A290)+1</f>
        <v>197</v>
      </c>
      <c r="B291" s="54" t="str">
        <f t="shared" si="40"/>
        <v>H. Bạch Thông</v>
      </c>
      <c r="C291" s="66" t="str">
        <f t="shared" si="51"/>
        <v>X. Sỹ Bình</v>
      </c>
      <c r="D291" s="34"/>
      <c r="E291" s="34" t="s">
        <v>58</v>
      </c>
      <c r="F291" s="31" t="s">
        <v>375</v>
      </c>
      <c r="G291" s="34"/>
      <c r="H291" s="34" t="str">
        <f>IF(LEFT('PL1(Full)'!$F291,4)="Thôn","Thôn","Tổ")</f>
        <v>Thôn</v>
      </c>
      <c r="I291" s="36">
        <v>15</v>
      </c>
      <c r="J291" s="36">
        <v>75</v>
      </c>
      <c r="K291" s="36">
        <v>15</v>
      </c>
      <c r="L291" s="37">
        <f t="shared" si="0"/>
        <v>100</v>
      </c>
      <c r="M291" s="35">
        <v>7</v>
      </c>
      <c r="N291" s="38">
        <f t="shared" si="1"/>
        <v>46.666666666666664</v>
      </c>
      <c r="O291" s="35">
        <v>7</v>
      </c>
      <c r="P291" s="38">
        <f t="shared" si="2"/>
        <v>100</v>
      </c>
      <c r="Q291" s="76" t="s">
        <v>63</v>
      </c>
      <c r="R291" s="76" t="str">
        <f t="shared" si="3"/>
        <v>X</v>
      </c>
      <c r="S291" s="77" t="s">
        <v>60</v>
      </c>
      <c r="T291" s="34" t="str">
        <f>IF('PL1(Full)'!$N291&gt;=20,"x",IF(AND('PL1(Full)'!$N291&gt;=15,'PL1(Full)'!$P291&gt;60),"x",""))</f>
        <v>x</v>
      </c>
      <c r="U291" s="34" t="str">
        <f>IF(AND('PL1(Full)'!$H291="Thôn",'PL1(Full)'!$I291&lt;75),"x",IF(AND('PL1(Full)'!$H291="Tổ",'PL1(Full)'!$I291&lt;100),"x","-"))</f>
        <v>x</v>
      </c>
      <c r="V291" s="34" t="str">
        <f>IF(AND('PL1(Full)'!$H291="Thôn",'PL1(Full)'!$I291&lt;140),"x",IF(AND('PL1(Full)'!$H291="Tổ",'PL1(Full)'!$I291&lt;210),"x","-"))</f>
        <v>x</v>
      </c>
      <c r="W291" s="40" t="str">
        <f t="shared" si="41"/>
        <v>Loại 3</v>
      </c>
      <c r="X291" s="32"/>
    </row>
    <row r="292" spans="1:24" ht="15.75" customHeight="1">
      <c r="A292" s="41">
        <f>_xlfn.AGGREGATE(4,7,A$6:A291)+1</f>
        <v>198</v>
      </c>
      <c r="B292" s="55" t="str">
        <f t="shared" si="40"/>
        <v>H. Bạch Thông</v>
      </c>
      <c r="C292" s="67" t="str">
        <f t="shared" si="51"/>
        <v>X. Sỹ Bình</v>
      </c>
      <c r="D292" s="50"/>
      <c r="E292" s="50" t="s">
        <v>58</v>
      </c>
      <c r="F292" s="42" t="s">
        <v>376</v>
      </c>
      <c r="G292" s="50"/>
      <c r="H292" s="50" t="str">
        <f>IF(LEFT('PL1(Full)'!$F292,4)="Thôn","Thôn","Tổ")</f>
        <v>Thôn</v>
      </c>
      <c r="I292" s="46">
        <v>33</v>
      </c>
      <c r="J292" s="46">
        <v>148</v>
      </c>
      <c r="K292" s="46">
        <v>33</v>
      </c>
      <c r="L292" s="47">
        <f t="shared" si="0"/>
        <v>100</v>
      </c>
      <c r="M292" s="45">
        <v>12</v>
      </c>
      <c r="N292" s="48">
        <f t="shared" si="1"/>
        <v>36.363636363636367</v>
      </c>
      <c r="O292" s="45">
        <v>12</v>
      </c>
      <c r="P292" s="48">
        <f t="shared" si="2"/>
        <v>100</v>
      </c>
      <c r="Q292" s="78" t="s">
        <v>56</v>
      </c>
      <c r="R292" s="78" t="str">
        <f t="shared" si="3"/>
        <v>X</v>
      </c>
      <c r="S292" s="79" t="s">
        <v>60</v>
      </c>
      <c r="T292" s="50" t="str">
        <f>IF('PL1(Full)'!$N292&gt;=20,"x",IF(AND('PL1(Full)'!$N292&gt;=15,'PL1(Full)'!$P292&gt;60),"x",""))</f>
        <v>x</v>
      </c>
      <c r="U292" s="50" t="str">
        <f>IF(AND('PL1(Full)'!$H292="Thôn",'PL1(Full)'!$I292&lt;75),"x",IF(AND('PL1(Full)'!$H292="Tổ",'PL1(Full)'!$I292&lt;100),"x","-"))</f>
        <v>x</v>
      </c>
      <c r="V292" s="34" t="str">
        <f>IF(AND('PL1(Full)'!$H292="Thôn",'PL1(Full)'!$I292&lt;140),"x",IF(AND('PL1(Full)'!$H292="Tổ",'PL1(Full)'!$I292&lt;210),"x","-"))</f>
        <v>x</v>
      </c>
      <c r="W292" s="51" t="str">
        <f t="shared" si="41"/>
        <v>Loại 3</v>
      </c>
      <c r="X292" s="43"/>
    </row>
    <row r="293" spans="1:24" ht="15.75" hidden="1" customHeight="1">
      <c r="A293" s="52">
        <f>_xlfn.AGGREGATE(4,7,A$6:A292)+1</f>
        <v>199</v>
      </c>
      <c r="B293" s="53" t="str">
        <f t="shared" si="40"/>
        <v>H. Bạch Thông</v>
      </c>
      <c r="C293" s="14" t="s">
        <v>377</v>
      </c>
      <c r="D293" s="15" t="s">
        <v>102</v>
      </c>
      <c r="E293" s="16" t="s">
        <v>102</v>
      </c>
      <c r="F293" s="65" t="s">
        <v>378</v>
      </c>
      <c r="G293" s="18" t="s">
        <v>137</v>
      </c>
      <c r="H293" s="18" t="str">
        <f>IF(LEFT('PL1(Full)'!$F293,4)="Thôn","Thôn","Tổ")</f>
        <v>Thôn</v>
      </c>
      <c r="I293" s="19">
        <v>119</v>
      </c>
      <c r="J293" s="19">
        <v>510</v>
      </c>
      <c r="K293" s="19">
        <v>89</v>
      </c>
      <c r="L293" s="21">
        <f t="shared" si="0"/>
        <v>74.789915966386559</v>
      </c>
      <c r="M293" s="19">
        <v>7</v>
      </c>
      <c r="N293" s="22">
        <f t="shared" si="1"/>
        <v>5.882352941176471</v>
      </c>
      <c r="O293" s="19">
        <v>4</v>
      </c>
      <c r="P293" s="22">
        <f t="shared" si="2"/>
        <v>57.142857142857146</v>
      </c>
      <c r="Q293" s="72" t="s">
        <v>43</v>
      </c>
      <c r="R293" s="72" t="str">
        <f t="shared" si="3"/>
        <v>X</v>
      </c>
      <c r="S293" s="73"/>
      <c r="T293" s="26" t="str">
        <f>IF('PL1(Full)'!$N293&gt;=20,"x",IF(AND('PL1(Full)'!$N293&gt;=15,'PL1(Full)'!$P293&gt;60),"x",""))</f>
        <v/>
      </c>
      <c r="U293" s="27" t="str">
        <f>IF(AND('PL1(Full)'!$H293="Thôn",'PL1(Full)'!$I293&lt;75),"x",IF(AND('PL1(Full)'!$H293="Tổ",'PL1(Full)'!$I293&lt;100),"x","-"))</f>
        <v>-</v>
      </c>
      <c r="V293" s="28" t="str">
        <f>IF(AND('PL1(Full)'!$H293="Thôn",'PL1(Full)'!$I293&lt;140),"x",IF(AND('PL1(Full)'!$H293="Tổ",'PL1(Full)'!$I293&lt;210),"x","-"))</f>
        <v>x</v>
      </c>
      <c r="W293" s="29" t="str">
        <f t="shared" si="41"/>
        <v>Loại 2</v>
      </c>
      <c r="X293" s="18"/>
    </row>
    <row r="294" spans="1:24" ht="15.75" customHeight="1">
      <c r="A294" s="30">
        <f>_xlfn.AGGREGATE(4,7,A$6:A293)+1</f>
        <v>199</v>
      </c>
      <c r="B294" s="54" t="str">
        <f t="shared" si="40"/>
        <v>H. Bạch Thông</v>
      </c>
      <c r="C294" s="66" t="str">
        <f t="shared" ref="C294:C305" si="52">C293</f>
        <v>X. Tân Tú</v>
      </c>
      <c r="D294" s="32"/>
      <c r="E294" s="32" t="s">
        <v>102</v>
      </c>
      <c r="F294" s="66" t="s">
        <v>127</v>
      </c>
      <c r="G294" s="32"/>
      <c r="H294" s="32" t="str">
        <f>IF(LEFT('PL1(Full)'!$F294,4)="Thôn","Thôn","Tổ")</f>
        <v>Thôn</v>
      </c>
      <c r="I294" s="35">
        <v>40</v>
      </c>
      <c r="J294" s="35">
        <v>139</v>
      </c>
      <c r="K294" s="35">
        <v>34</v>
      </c>
      <c r="L294" s="37">
        <f t="shared" si="0"/>
        <v>85</v>
      </c>
      <c r="M294" s="35">
        <v>8</v>
      </c>
      <c r="N294" s="38">
        <f t="shared" si="1"/>
        <v>20</v>
      </c>
      <c r="O294" s="35">
        <v>7</v>
      </c>
      <c r="P294" s="38">
        <f t="shared" si="2"/>
        <v>87.5</v>
      </c>
      <c r="Q294" s="76" t="s">
        <v>43</v>
      </c>
      <c r="R294" s="76" t="str">
        <f t="shared" si="3"/>
        <v>X</v>
      </c>
      <c r="S294" s="77" t="s">
        <v>60</v>
      </c>
      <c r="T294" s="34" t="str">
        <f>IF('PL1(Full)'!$N294&gt;=20,"x",IF(AND('PL1(Full)'!$N294&gt;=15,'PL1(Full)'!$P294&gt;60),"x",""))</f>
        <v>x</v>
      </c>
      <c r="U294" s="34" t="str">
        <f>IF(AND('PL1(Full)'!$H294="Thôn",'PL1(Full)'!$I294&lt;75),"x",IF(AND('PL1(Full)'!$H294="Tổ",'PL1(Full)'!$I294&lt;100),"x","-"))</f>
        <v>x</v>
      </c>
      <c r="V294" s="34" t="str">
        <f>IF(AND('PL1(Full)'!$H294="Thôn",'PL1(Full)'!$I294&lt;140),"x",IF(AND('PL1(Full)'!$H294="Tổ",'PL1(Full)'!$I294&lt;210),"x","-"))</f>
        <v>x</v>
      </c>
      <c r="W294" s="40" t="str">
        <f t="shared" si="41"/>
        <v>Loại 3</v>
      </c>
      <c r="X294" s="32"/>
    </row>
    <row r="295" spans="1:24" ht="15.75" hidden="1" customHeight="1">
      <c r="A295" s="30">
        <f>_xlfn.AGGREGATE(4,7,A$6:A294)+1</f>
        <v>200</v>
      </c>
      <c r="B295" s="54" t="str">
        <f t="shared" si="40"/>
        <v>H. Bạch Thông</v>
      </c>
      <c r="C295" s="66" t="str">
        <f t="shared" si="52"/>
        <v>X. Tân Tú</v>
      </c>
      <c r="D295" s="32"/>
      <c r="E295" s="32" t="s">
        <v>102</v>
      </c>
      <c r="F295" s="66" t="s">
        <v>379</v>
      </c>
      <c r="G295" s="32" t="s">
        <v>137</v>
      </c>
      <c r="H295" s="32" t="str">
        <f>IF(LEFT('PL1(Full)'!$F295,4)="Thôn","Thôn","Tổ")</f>
        <v>Thôn</v>
      </c>
      <c r="I295" s="35">
        <v>123</v>
      </c>
      <c r="J295" s="35">
        <v>520</v>
      </c>
      <c r="K295" s="35">
        <v>123</v>
      </c>
      <c r="L295" s="37">
        <f t="shared" si="0"/>
        <v>100</v>
      </c>
      <c r="M295" s="35">
        <v>15</v>
      </c>
      <c r="N295" s="38">
        <f t="shared" si="1"/>
        <v>12.195121951219512</v>
      </c>
      <c r="O295" s="35">
        <v>15</v>
      </c>
      <c r="P295" s="38">
        <f t="shared" si="2"/>
        <v>100</v>
      </c>
      <c r="Q295" s="76" t="s">
        <v>43</v>
      </c>
      <c r="R295" s="76" t="str">
        <f t="shared" si="3"/>
        <v>X</v>
      </c>
      <c r="S295" s="77"/>
      <c r="T295" s="34" t="str">
        <f>IF('PL1(Full)'!$N295&gt;=20,"x",IF(AND('PL1(Full)'!$N295&gt;=15,'PL1(Full)'!$P295&gt;60),"x",""))</f>
        <v/>
      </c>
      <c r="U295" s="34" t="str">
        <f>IF(AND('PL1(Full)'!$H295="Thôn",'PL1(Full)'!$I295&lt;75),"x",IF(AND('PL1(Full)'!$H295="Tổ",'PL1(Full)'!$I295&lt;100),"x","-"))</f>
        <v>-</v>
      </c>
      <c r="V295" s="34" t="str">
        <f>IF(AND('PL1(Full)'!$H295="Thôn",'PL1(Full)'!$I295&lt;140),"x",IF(AND('PL1(Full)'!$H295="Tổ",'PL1(Full)'!$I295&lt;210),"x","-"))</f>
        <v>x</v>
      </c>
      <c r="W295" s="40" t="str">
        <f t="shared" si="41"/>
        <v>Loại 2</v>
      </c>
      <c r="X295" s="32"/>
    </row>
    <row r="296" spans="1:24" ht="15.75" customHeight="1">
      <c r="A296" s="30">
        <f>_xlfn.AGGREGATE(4,7,A$6:A295)+1</f>
        <v>200</v>
      </c>
      <c r="B296" s="54" t="str">
        <f t="shared" si="40"/>
        <v>H. Bạch Thông</v>
      </c>
      <c r="C296" s="66" t="str">
        <f t="shared" si="52"/>
        <v>X. Tân Tú</v>
      </c>
      <c r="D296" s="32"/>
      <c r="E296" s="32" t="s">
        <v>102</v>
      </c>
      <c r="F296" s="66" t="s">
        <v>380</v>
      </c>
      <c r="G296" s="32"/>
      <c r="H296" s="32" t="str">
        <f>IF(LEFT('PL1(Full)'!$F296,4)="Thôn","Thôn","Tổ")</f>
        <v>Thôn</v>
      </c>
      <c r="I296" s="35">
        <v>37</v>
      </c>
      <c r="J296" s="35">
        <v>141</v>
      </c>
      <c r="K296" s="35">
        <v>32</v>
      </c>
      <c r="L296" s="37">
        <f t="shared" si="0"/>
        <v>86.486486486486484</v>
      </c>
      <c r="M296" s="35">
        <v>6</v>
      </c>
      <c r="N296" s="38">
        <f t="shared" si="1"/>
        <v>16.216216216216218</v>
      </c>
      <c r="O296" s="35">
        <v>4</v>
      </c>
      <c r="P296" s="38">
        <f t="shared" si="2"/>
        <v>66.666666666666671</v>
      </c>
      <c r="Q296" s="76" t="s">
        <v>63</v>
      </c>
      <c r="R296" s="76" t="str">
        <f t="shared" si="3"/>
        <v>X</v>
      </c>
      <c r="S296" s="77" t="s">
        <v>60</v>
      </c>
      <c r="T296" s="34" t="str">
        <f>IF('PL1(Full)'!$N296&gt;=20,"x",IF(AND('PL1(Full)'!$N296&gt;=15,'PL1(Full)'!$P296&gt;60),"x",""))</f>
        <v>x</v>
      </c>
      <c r="U296" s="34" t="str">
        <f>IF(AND('PL1(Full)'!$H296="Thôn",'PL1(Full)'!$I296&lt;75),"x",IF(AND('PL1(Full)'!$H296="Tổ",'PL1(Full)'!$I296&lt;100),"x","-"))</f>
        <v>x</v>
      </c>
      <c r="V296" s="34" t="str">
        <f>IF(AND('PL1(Full)'!$H296="Thôn",'PL1(Full)'!$I296&lt;140),"x",IF(AND('PL1(Full)'!$H296="Tổ",'PL1(Full)'!$I296&lt;210),"x","-"))</f>
        <v>x</v>
      </c>
      <c r="W296" s="40" t="str">
        <f t="shared" si="41"/>
        <v>Loại 3</v>
      </c>
      <c r="X296" s="32"/>
    </row>
    <row r="297" spans="1:24" ht="15.75" customHeight="1">
      <c r="A297" s="30">
        <f>_xlfn.AGGREGATE(4,7,A$6:A296)+1</f>
        <v>201</v>
      </c>
      <c r="B297" s="54" t="str">
        <f t="shared" si="40"/>
        <v>H. Bạch Thông</v>
      </c>
      <c r="C297" s="66" t="str">
        <f t="shared" si="52"/>
        <v>X. Tân Tú</v>
      </c>
      <c r="D297" s="32"/>
      <c r="E297" s="32" t="s">
        <v>102</v>
      </c>
      <c r="F297" s="66" t="s">
        <v>104</v>
      </c>
      <c r="G297" s="32"/>
      <c r="H297" s="32" t="str">
        <f>IF(LEFT('PL1(Full)'!$F297,4)="Thôn","Thôn","Tổ")</f>
        <v>Thôn</v>
      </c>
      <c r="I297" s="35">
        <v>51</v>
      </c>
      <c r="J297" s="35">
        <v>192</v>
      </c>
      <c r="K297" s="35">
        <v>51</v>
      </c>
      <c r="L297" s="37">
        <f t="shared" si="0"/>
        <v>100</v>
      </c>
      <c r="M297" s="35">
        <v>4</v>
      </c>
      <c r="N297" s="38">
        <f t="shared" si="1"/>
        <v>7.8431372549019605</v>
      </c>
      <c r="O297" s="35">
        <v>4</v>
      </c>
      <c r="P297" s="38">
        <f t="shared" si="2"/>
        <v>100</v>
      </c>
      <c r="Q297" s="76" t="s">
        <v>63</v>
      </c>
      <c r="R297" s="74" t="str">
        <f t="shared" si="3"/>
        <v>X</v>
      </c>
      <c r="S297" s="75"/>
      <c r="T297" s="34" t="str">
        <f>IF('PL1(Full)'!$N297&gt;=20,"x",IF(AND('PL1(Full)'!$N297&gt;=15,'PL1(Full)'!$P297&gt;60),"x",""))</f>
        <v/>
      </c>
      <c r="U297" s="34" t="str">
        <f>IF(AND('PL1(Full)'!$H297="Thôn",'PL1(Full)'!$I297&lt;75),"x",IF(AND('PL1(Full)'!$H297="Tổ",'PL1(Full)'!$I297&lt;100),"x","-"))</f>
        <v>x</v>
      </c>
      <c r="V297" s="34" t="str">
        <f>IF(AND('PL1(Full)'!$H297="Thôn",'PL1(Full)'!$I297&lt;140),"x",IF(AND('PL1(Full)'!$H297="Tổ",'PL1(Full)'!$I297&lt;210),"x","-"))</f>
        <v>x</v>
      </c>
      <c r="W297" s="40" t="str">
        <f t="shared" si="41"/>
        <v>Loại 3</v>
      </c>
      <c r="X297" s="32"/>
    </row>
    <row r="298" spans="1:24" ht="15.75" customHeight="1">
      <c r="A298" s="30">
        <f>_xlfn.AGGREGATE(4,7,A$6:A297)+1</f>
        <v>202</v>
      </c>
      <c r="B298" s="54" t="str">
        <f t="shared" si="40"/>
        <v>H. Bạch Thông</v>
      </c>
      <c r="C298" s="66" t="str">
        <f t="shared" si="52"/>
        <v>X. Tân Tú</v>
      </c>
      <c r="D298" s="32"/>
      <c r="E298" s="32" t="s">
        <v>102</v>
      </c>
      <c r="F298" s="66" t="s">
        <v>381</v>
      </c>
      <c r="G298" s="32"/>
      <c r="H298" s="32" t="str">
        <f>IF(LEFT('PL1(Full)'!$F298,4)="Thôn","Thôn","Tổ")</f>
        <v>Thôn</v>
      </c>
      <c r="I298" s="35">
        <v>54</v>
      </c>
      <c r="J298" s="35">
        <v>183</v>
      </c>
      <c r="K298" s="35">
        <v>49</v>
      </c>
      <c r="L298" s="37">
        <f t="shared" si="0"/>
        <v>90.740740740740748</v>
      </c>
      <c r="M298" s="35">
        <v>1</v>
      </c>
      <c r="N298" s="38">
        <f t="shared" si="1"/>
        <v>1.8518518518518519</v>
      </c>
      <c r="O298" s="35">
        <v>1</v>
      </c>
      <c r="P298" s="38">
        <f t="shared" si="2"/>
        <v>100</v>
      </c>
      <c r="Q298" s="76" t="s">
        <v>63</v>
      </c>
      <c r="R298" s="76" t="str">
        <f t="shared" si="3"/>
        <v>X</v>
      </c>
      <c r="S298" s="77"/>
      <c r="T298" s="34" t="str">
        <f>IF('PL1(Full)'!$N298&gt;=20,"x",IF(AND('PL1(Full)'!$N298&gt;=15,'PL1(Full)'!$P298&gt;60),"x",""))</f>
        <v/>
      </c>
      <c r="U298" s="34" t="str">
        <f>IF(AND('PL1(Full)'!$H298="Thôn",'PL1(Full)'!$I298&lt;75),"x",IF(AND('PL1(Full)'!$H298="Tổ",'PL1(Full)'!$I298&lt;100),"x","-"))</f>
        <v>x</v>
      </c>
      <c r="V298" s="34" t="str">
        <f>IF(AND('PL1(Full)'!$H298="Thôn",'PL1(Full)'!$I298&lt;140),"x",IF(AND('PL1(Full)'!$H298="Tổ",'PL1(Full)'!$I298&lt;210),"x","-"))</f>
        <v>x</v>
      </c>
      <c r="W298" s="40" t="str">
        <f t="shared" si="41"/>
        <v>Loại 3</v>
      </c>
      <c r="X298" s="32"/>
    </row>
    <row r="299" spans="1:24" ht="15.75" customHeight="1">
      <c r="A299" s="30">
        <f>_xlfn.AGGREGATE(4,7,A$6:A298)+1</f>
        <v>203</v>
      </c>
      <c r="B299" s="54" t="str">
        <f t="shared" si="40"/>
        <v>H. Bạch Thông</v>
      </c>
      <c r="C299" s="66" t="str">
        <f t="shared" si="52"/>
        <v>X. Tân Tú</v>
      </c>
      <c r="D299" s="32"/>
      <c r="E299" s="32" t="s">
        <v>102</v>
      </c>
      <c r="F299" s="66" t="s">
        <v>382</v>
      </c>
      <c r="G299" s="32"/>
      <c r="H299" s="32" t="str">
        <f>IF(LEFT('PL1(Full)'!$F299,4)="Thôn","Thôn","Tổ")</f>
        <v>Thôn</v>
      </c>
      <c r="I299" s="35">
        <v>50</v>
      </c>
      <c r="J299" s="35">
        <v>226</v>
      </c>
      <c r="K299" s="35">
        <v>45</v>
      </c>
      <c r="L299" s="37">
        <f t="shared" si="0"/>
        <v>90</v>
      </c>
      <c r="M299" s="35">
        <v>8</v>
      </c>
      <c r="N299" s="38">
        <f t="shared" si="1"/>
        <v>16</v>
      </c>
      <c r="O299" s="35">
        <v>7</v>
      </c>
      <c r="P299" s="38">
        <f t="shared" si="2"/>
        <v>87.5</v>
      </c>
      <c r="Q299" s="76" t="s">
        <v>82</v>
      </c>
      <c r="R299" s="74" t="str">
        <f t="shared" si="3"/>
        <v>X</v>
      </c>
      <c r="S299" s="75"/>
      <c r="T299" s="34" t="str">
        <f>IF('PL1(Full)'!$N299&gt;=20,"x",IF(AND('PL1(Full)'!$N299&gt;=15,'PL1(Full)'!$P299&gt;60),"x",""))</f>
        <v>x</v>
      </c>
      <c r="U299" s="34" t="str">
        <f>IF(AND('PL1(Full)'!$H299="Thôn",'PL1(Full)'!$I299&lt;75),"x",IF(AND('PL1(Full)'!$H299="Tổ",'PL1(Full)'!$I299&lt;100),"x","-"))</f>
        <v>x</v>
      </c>
      <c r="V299" s="34" t="str">
        <f>IF(AND('PL1(Full)'!$H299="Thôn",'PL1(Full)'!$I299&lt;140),"x",IF(AND('PL1(Full)'!$H299="Tổ",'PL1(Full)'!$I299&lt;210),"x","-"))</f>
        <v>x</v>
      </c>
      <c r="W299" s="40" t="str">
        <f t="shared" si="41"/>
        <v>Loại 3</v>
      </c>
      <c r="X299" s="32"/>
    </row>
    <row r="300" spans="1:24" ht="15.75" customHeight="1">
      <c r="A300" s="30">
        <f>_xlfn.AGGREGATE(4,7,A$6:A299)+1</f>
        <v>204</v>
      </c>
      <c r="B300" s="54" t="str">
        <f t="shared" si="40"/>
        <v>H. Bạch Thông</v>
      </c>
      <c r="C300" s="66" t="str">
        <f t="shared" si="52"/>
        <v>X. Tân Tú</v>
      </c>
      <c r="D300" s="32"/>
      <c r="E300" s="32" t="s">
        <v>102</v>
      </c>
      <c r="F300" s="66" t="s">
        <v>171</v>
      </c>
      <c r="G300" s="32"/>
      <c r="H300" s="32" t="str">
        <f>IF(LEFT('PL1(Full)'!$F300,4)="Thôn","Thôn","Tổ")</f>
        <v>Thôn</v>
      </c>
      <c r="I300" s="35">
        <v>56</v>
      </c>
      <c r="J300" s="35">
        <v>225</v>
      </c>
      <c r="K300" s="35">
        <v>44</v>
      </c>
      <c r="L300" s="37">
        <f t="shared" si="0"/>
        <v>78.571428571428569</v>
      </c>
      <c r="M300" s="35">
        <v>13</v>
      </c>
      <c r="N300" s="38">
        <f t="shared" si="1"/>
        <v>23.214285714285715</v>
      </c>
      <c r="O300" s="35">
        <v>9</v>
      </c>
      <c r="P300" s="38">
        <f t="shared" si="2"/>
        <v>69.230769230769226</v>
      </c>
      <c r="Q300" s="76" t="s">
        <v>52</v>
      </c>
      <c r="R300" s="76" t="str">
        <f t="shared" si="3"/>
        <v>C</v>
      </c>
      <c r="S300" s="77"/>
      <c r="T300" s="34" t="str">
        <f>IF('PL1(Full)'!$N300&gt;=20,"x",IF(AND('PL1(Full)'!$N300&gt;=15,'PL1(Full)'!$P300&gt;60),"x",""))</f>
        <v>x</v>
      </c>
      <c r="U300" s="34" t="str">
        <f>IF(AND('PL1(Full)'!$H300="Thôn",'PL1(Full)'!$I300&lt;75),"x",IF(AND('PL1(Full)'!$H300="Tổ",'PL1(Full)'!$I300&lt;100),"x","-"))</f>
        <v>x</v>
      </c>
      <c r="V300" s="34" t="str">
        <f>IF(AND('PL1(Full)'!$H300="Thôn",'PL1(Full)'!$I300&lt;140),"x",IF(AND('PL1(Full)'!$H300="Tổ",'PL1(Full)'!$I300&lt;210),"x","-"))</f>
        <v>x</v>
      </c>
      <c r="W300" s="40" t="str">
        <f t="shared" si="41"/>
        <v>Loại 3</v>
      </c>
      <c r="X300" s="32"/>
    </row>
    <row r="301" spans="1:24" ht="15.75" customHeight="1">
      <c r="A301" s="30">
        <f>_xlfn.AGGREGATE(4,7,A$6:A300)+1</f>
        <v>205</v>
      </c>
      <c r="B301" s="54" t="str">
        <f t="shared" si="40"/>
        <v>H. Bạch Thông</v>
      </c>
      <c r="C301" s="66" t="str">
        <f t="shared" si="52"/>
        <v>X. Tân Tú</v>
      </c>
      <c r="D301" s="32"/>
      <c r="E301" s="32" t="s">
        <v>102</v>
      </c>
      <c r="F301" s="66" t="s">
        <v>383</v>
      </c>
      <c r="G301" s="32"/>
      <c r="H301" s="32" t="str">
        <f>IF(LEFT('PL1(Full)'!$F301,4)="Thôn","Thôn","Tổ")</f>
        <v>Thôn</v>
      </c>
      <c r="I301" s="35">
        <v>66</v>
      </c>
      <c r="J301" s="35">
        <v>301</v>
      </c>
      <c r="K301" s="35">
        <v>58</v>
      </c>
      <c r="L301" s="37">
        <f t="shared" si="0"/>
        <v>87.878787878787875</v>
      </c>
      <c r="M301" s="35">
        <v>12</v>
      </c>
      <c r="N301" s="38">
        <f t="shared" si="1"/>
        <v>18.181818181818183</v>
      </c>
      <c r="O301" s="35">
        <v>8</v>
      </c>
      <c r="P301" s="38">
        <f t="shared" si="2"/>
        <v>66.666666666666671</v>
      </c>
      <c r="Q301" s="76" t="s">
        <v>43</v>
      </c>
      <c r="R301" s="76" t="str">
        <f t="shared" si="3"/>
        <v>X</v>
      </c>
      <c r="S301" s="77" t="s">
        <v>60</v>
      </c>
      <c r="T301" s="34" t="str">
        <f>IF('PL1(Full)'!$N301&gt;=20,"x",IF(AND('PL1(Full)'!$N301&gt;=15,'PL1(Full)'!$P301&gt;60),"x",""))</f>
        <v>x</v>
      </c>
      <c r="U301" s="34" t="str">
        <f>IF(AND('PL1(Full)'!$H301="Thôn",'PL1(Full)'!$I301&lt;75),"x",IF(AND('PL1(Full)'!$H301="Tổ",'PL1(Full)'!$I301&lt;100),"x","-"))</f>
        <v>x</v>
      </c>
      <c r="V301" s="34" t="str">
        <f>IF(AND('PL1(Full)'!$H301="Thôn",'PL1(Full)'!$I301&lt;140),"x",IF(AND('PL1(Full)'!$H301="Tổ",'PL1(Full)'!$I301&lt;210),"x","-"))</f>
        <v>x</v>
      </c>
      <c r="W301" s="40" t="str">
        <f t="shared" si="41"/>
        <v>Loại 3</v>
      </c>
      <c r="X301" s="32"/>
    </row>
    <row r="302" spans="1:24" ht="15.75" customHeight="1">
      <c r="A302" s="30">
        <f>_xlfn.AGGREGATE(4,7,A$6:A301)+1</f>
        <v>206</v>
      </c>
      <c r="B302" s="54" t="str">
        <f t="shared" si="40"/>
        <v>H. Bạch Thông</v>
      </c>
      <c r="C302" s="66" t="str">
        <f t="shared" si="52"/>
        <v>X. Tân Tú</v>
      </c>
      <c r="D302" s="32"/>
      <c r="E302" s="32" t="s">
        <v>102</v>
      </c>
      <c r="F302" s="66" t="s">
        <v>384</v>
      </c>
      <c r="G302" s="32"/>
      <c r="H302" s="32" t="str">
        <f>IF(LEFT('PL1(Full)'!$F302,4)="Thôn","Thôn","Tổ")</f>
        <v>Thôn</v>
      </c>
      <c r="I302" s="35">
        <v>60</v>
      </c>
      <c r="J302" s="35">
        <v>235</v>
      </c>
      <c r="K302" s="35">
        <v>55</v>
      </c>
      <c r="L302" s="37">
        <f t="shared" si="0"/>
        <v>91.666666666666671</v>
      </c>
      <c r="M302" s="35">
        <v>12</v>
      </c>
      <c r="N302" s="38">
        <f t="shared" si="1"/>
        <v>20</v>
      </c>
      <c r="O302" s="35">
        <v>12</v>
      </c>
      <c r="P302" s="38">
        <f t="shared" si="2"/>
        <v>100</v>
      </c>
      <c r="Q302" s="76" t="s">
        <v>63</v>
      </c>
      <c r="R302" s="74" t="str">
        <f t="shared" si="3"/>
        <v>X</v>
      </c>
      <c r="S302" s="75" t="s">
        <v>60</v>
      </c>
      <c r="T302" s="34" t="str">
        <f>IF('PL1(Full)'!$N302&gt;=20,"x",IF(AND('PL1(Full)'!$N302&gt;=15,'PL1(Full)'!$P302&gt;60),"x",""))</f>
        <v>x</v>
      </c>
      <c r="U302" s="34" t="str">
        <f>IF(AND('PL1(Full)'!$H302="Thôn",'PL1(Full)'!$I302&lt;75),"x",IF(AND('PL1(Full)'!$H302="Tổ",'PL1(Full)'!$I302&lt;100),"x","-"))</f>
        <v>x</v>
      </c>
      <c r="V302" s="34" t="str">
        <f>IF(AND('PL1(Full)'!$H302="Thôn",'PL1(Full)'!$I302&lt;140),"x",IF(AND('PL1(Full)'!$H302="Tổ",'PL1(Full)'!$I302&lt;210),"x","-"))</f>
        <v>x</v>
      </c>
      <c r="W302" s="40" t="str">
        <f t="shared" si="41"/>
        <v>Loại 3</v>
      </c>
      <c r="X302" s="32"/>
    </row>
    <row r="303" spans="1:24" ht="15.75" customHeight="1">
      <c r="A303" s="30">
        <f>_xlfn.AGGREGATE(4,7,A$6:A302)+1</f>
        <v>207</v>
      </c>
      <c r="B303" s="54" t="str">
        <f t="shared" si="40"/>
        <v>H. Bạch Thông</v>
      </c>
      <c r="C303" s="66" t="str">
        <f t="shared" si="52"/>
        <v>X. Tân Tú</v>
      </c>
      <c r="D303" s="32"/>
      <c r="E303" s="32" t="s">
        <v>102</v>
      </c>
      <c r="F303" s="66" t="s">
        <v>385</v>
      </c>
      <c r="G303" s="32"/>
      <c r="H303" s="32" t="str">
        <f>IF(LEFT('PL1(Full)'!$F303,4)="Thôn","Thôn","Tổ")</f>
        <v>Thôn</v>
      </c>
      <c r="I303" s="35">
        <v>57</v>
      </c>
      <c r="J303" s="35">
        <v>205</v>
      </c>
      <c r="K303" s="35">
        <v>54</v>
      </c>
      <c r="L303" s="37">
        <f t="shared" si="0"/>
        <v>94.736842105263165</v>
      </c>
      <c r="M303" s="35">
        <v>10</v>
      </c>
      <c r="N303" s="38">
        <f t="shared" si="1"/>
        <v>17.543859649122808</v>
      </c>
      <c r="O303" s="35">
        <v>10</v>
      </c>
      <c r="P303" s="38">
        <f t="shared" si="2"/>
        <v>100</v>
      </c>
      <c r="Q303" s="76" t="s">
        <v>82</v>
      </c>
      <c r="R303" s="76" t="str">
        <f t="shared" si="3"/>
        <v>X</v>
      </c>
      <c r="S303" s="77" t="s">
        <v>60</v>
      </c>
      <c r="T303" s="34" t="str">
        <f>IF('PL1(Full)'!$N303&gt;=20,"x",IF(AND('PL1(Full)'!$N303&gt;=15,'PL1(Full)'!$P303&gt;60),"x",""))</f>
        <v>x</v>
      </c>
      <c r="U303" s="34" t="str">
        <f>IF(AND('PL1(Full)'!$H303="Thôn",'PL1(Full)'!$I303&lt;75),"x",IF(AND('PL1(Full)'!$H303="Tổ",'PL1(Full)'!$I303&lt;100),"x","-"))</f>
        <v>x</v>
      </c>
      <c r="V303" s="34" t="str">
        <f>IF(AND('PL1(Full)'!$H303="Thôn",'PL1(Full)'!$I303&lt;140),"x",IF(AND('PL1(Full)'!$H303="Tổ",'PL1(Full)'!$I303&lt;210),"x","-"))</f>
        <v>x</v>
      </c>
      <c r="W303" s="40" t="str">
        <f t="shared" si="41"/>
        <v>Loại 3</v>
      </c>
      <c r="X303" s="32"/>
    </row>
    <row r="304" spans="1:24" ht="15.75" hidden="1" customHeight="1">
      <c r="A304" s="30">
        <f>_xlfn.AGGREGATE(4,7,A$6:A303)+1</f>
        <v>208</v>
      </c>
      <c r="B304" s="54" t="str">
        <f t="shared" si="40"/>
        <v>H. Bạch Thông</v>
      </c>
      <c r="C304" s="66" t="str">
        <f t="shared" si="52"/>
        <v>X. Tân Tú</v>
      </c>
      <c r="D304" s="32"/>
      <c r="E304" s="32" t="s">
        <v>102</v>
      </c>
      <c r="F304" s="66" t="s">
        <v>386</v>
      </c>
      <c r="G304" s="32" t="s">
        <v>137</v>
      </c>
      <c r="H304" s="32" t="str">
        <f>IF(LEFT('PL1(Full)'!$F304,4)="Thôn","Thôn","Tổ")</f>
        <v>Thôn</v>
      </c>
      <c r="I304" s="35">
        <v>116</v>
      </c>
      <c r="J304" s="35">
        <v>484</v>
      </c>
      <c r="K304" s="35">
        <v>109</v>
      </c>
      <c r="L304" s="37">
        <f t="shared" si="0"/>
        <v>93.965517241379317</v>
      </c>
      <c r="M304" s="35">
        <v>9</v>
      </c>
      <c r="N304" s="38">
        <f t="shared" si="1"/>
        <v>7.7586206896551726</v>
      </c>
      <c r="O304" s="35">
        <v>8</v>
      </c>
      <c r="P304" s="38">
        <f t="shared" si="2"/>
        <v>88.888888888888886</v>
      </c>
      <c r="Q304" s="76" t="s">
        <v>43</v>
      </c>
      <c r="R304" s="76" t="str">
        <f t="shared" si="3"/>
        <v>X</v>
      </c>
      <c r="S304" s="77"/>
      <c r="T304" s="34" t="str">
        <f>IF('PL1(Full)'!$N304&gt;=20,"x",IF(AND('PL1(Full)'!$N304&gt;=15,'PL1(Full)'!$P304&gt;60),"x",""))</f>
        <v/>
      </c>
      <c r="U304" s="34" t="str">
        <f>IF(AND('PL1(Full)'!$H304="Thôn",'PL1(Full)'!$I304&lt;75),"x",IF(AND('PL1(Full)'!$H304="Tổ",'PL1(Full)'!$I304&lt;100),"x","-"))</f>
        <v>-</v>
      </c>
      <c r="V304" s="34" t="str">
        <f>IF(AND('PL1(Full)'!$H304="Thôn",'PL1(Full)'!$I304&lt;140),"x",IF(AND('PL1(Full)'!$H304="Tổ",'PL1(Full)'!$I304&lt;210),"x","-"))</f>
        <v>x</v>
      </c>
      <c r="W304" s="40" t="str">
        <f t="shared" si="41"/>
        <v>Loại 2</v>
      </c>
      <c r="X304" s="32"/>
    </row>
    <row r="305" spans="1:24" ht="15.75" hidden="1" customHeight="1">
      <c r="A305" s="41">
        <f>_xlfn.AGGREGATE(4,7,A$6:A304)+1</f>
        <v>208</v>
      </c>
      <c r="B305" s="55" t="str">
        <f t="shared" si="40"/>
        <v>H. Bạch Thông</v>
      </c>
      <c r="C305" s="67" t="str">
        <f t="shared" si="52"/>
        <v>X. Tân Tú</v>
      </c>
      <c r="D305" s="43"/>
      <c r="E305" s="43" t="s">
        <v>102</v>
      </c>
      <c r="F305" s="67" t="s">
        <v>387</v>
      </c>
      <c r="G305" s="43" t="s">
        <v>137</v>
      </c>
      <c r="H305" s="43" t="str">
        <f>IF(LEFT('PL1(Full)'!$F305,4)="Thôn","Thôn","Tổ")</f>
        <v>Thôn</v>
      </c>
      <c r="I305" s="45">
        <v>130</v>
      </c>
      <c r="J305" s="45">
        <v>515</v>
      </c>
      <c r="K305" s="45">
        <v>100</v>
      </c>
      <c r="L305" s="47">
        <f t="shared" si="0"/>
        <v>76.92307692307692</v>
      </c>
      <c r="M305" s="45">
        <v>13</v>
      </c>
      <c r="N305" s="48">
        <f t="shared" si="1"/>
        <v>10</v>
      </c>
      <c r="O305" s="45">
        <v>6</v>
      </c>
      <c r="P305" s="48">
        <f t="shared" si="2"/>
        <v>46.153846153846153</v>
      </c>
      <c r="Q305" s="78" t="s">
        <v>43</v>
      </c>
      <c r="R305" s="78" t="str">
        <f t="shared" si="3"/>
        <v>X</v>
      </c>
      <c r="S305" s="79"/>
      <c r="T305" s="50" t="str">
        <f>IF('PL1(Full)'!$N305&gt;=20,"x",IF(AND('PL1(Full)'!$N305&gt;=15,'PL1(Full)'!$P305&gt;60),"x",""))</f>
        <v/>
      </c>
      <c r="U305" s="50" t="str">
        <f>IF(AND('PL1(Full)'!$H305="Thôn",'PL1(Full)'!$I305&lt;75),"x",IF(AND('PL1(Full)'!$H305="Tổ",'PL1(Full)'!$I305&lt;100),"x","-"))</f>
        <v>-</v>
      </c>
      <c r="V305" s="50" t="str">
        <f>IF(AND('PL1(Full)'!$H305="Thôn",'PL1(Full)'!$I305&lt;140),"x",IF(AND('PL1(Full)'!$H305="Tổ",'PL1(Full)'!$I305&lt;210),"x","-"))</f>
        <v>x</v>
      </c>
      <c r="W305" s="51" t="str">
        <f t="shared" si="41"/>
        <v>Loại 2</v>
      </c>
      <c r="X305" s="43"/>
    </row>
    <row r="306" spans="1:24" ht="15.75" customHeight="1">
      <c r="A306" s="52">
        <f>_xlfn.AGGREGATE(4,7,A$6:A305)+1</f>
        <v>208</v>
      </c>
      <c r="B306" s="53" t="str">
        <f t="shared" si="40"/>
        <v>H. Bạch Thông</v>
      </c>
      <c r="C306" s="14" t="s">
        <v>388</v>
      </c>
      <c r="D306" s="15" t="s">
        <v>58</v>
      </c>
      <c r="E306" s="16" t="s">
        <v>58</v>
      </c>
      <c r="F306" s="65" t="s">
        <v>389</v>
      </c>
      <c r="G306" s="18"/>
      <c r="H306" s="18" t="str">
        <f>IF(LEFT('PL1(Full)'!$F306,4)="Thôn","Thôn","Tổ")</f>
        <v>Thôn</v>
      </c>
      <c r="I306" s="20">
        <v>46</v>
      </c>
      <c r="J306" s="20">
        <v>183</v>
      </c>
      <c r="K306" s="20">
        <v>44</v>
      </c>
      <c r="L306" s="21">
        <f t="shared" si="0"/>
        <v>95.652173913043484</v>
      </c>
      <c r="M306" s="20">
        <v>2</v>
      </c>
      <c r="N306" s="22">
        <f t="shared" si="1"/>
        <v>4.3478260869565215</v>
      </c>
      <c r="O306" s="20">
        <v>2</v>
      </c>
      <c r="P306" s="22">
        <f t="shared" si="2"/>
        <v>100</v>
      </c>
      <c r="Q306" s="23" t="s">
        <v>56</v>
      </c>
      <c r="R306" s="24" t="str">
        <f t="shared" si="3"/>
        <v>X</v>
      </c>
      <c r="S306" s="25"/>
      <c r="T306" s="26" t="str">
        <f>IF('PL1(Full)'!$N306&gt;=20,"x",IF(AND('PL1(Full)'!$N306&gt;=15,'PL1(Full)'!$P306&gt;60),"x",""))</f>
        <v/>
      </c>
      <c r="U306" s="27" t="str">
        <f>IF(AND('PL1(Full)'!$H306="Thôn",'PL1(Full)'!$I306&lt;75),"x",IF(AND('PL1(Full)'!$H306="Tổ",'PL1(Full)'!$I306&lt;100),"x","-"))</f>
        <v>x</v>
      </c>
      <c r="V306" s="28" t="str">
        <f>IF(AND('PL1(Full)'!$H306="Thôn",'PL1(Full)'!$I306&lt;140),"x",IF(AND('PL1(Full)'!$H306="Tổ",'PL1(Full)'!$I306&lt;210),"x","-"))</f>
        <v>x</v>
      </c>
      <c r="W306" s="29" t="str">
        <f t="shared" si="41"/>
        <v>Loại 3</v>
      </c>
      <c r="X306" s="18"/>
    </row>
    <row r="307" spans="1:24" ht="15.75" customHeight="1">
      <c r="A307" s="30">
        <f>_xlfn.AGGREGATE(4,7,A$6:A306)+1</f>
        <v>209</v>
      </c>
      <c r="B307" s="54" t="str">
        <f t="shared" si="40"/>
        <v>H. Bạch Thông</v>
      </c>
      <c r="C307" s="66" t="str">
        <f t="shared" ref="C307:C314" si="53">C306</f>
        <v>X. Vi Hương</v>
      </c>
      <c r="D307" s="32"/>
      <c r="E307" s="32" t="s">
        <v>58</v>
      </c>
      <c r="F307" s="66" t="s">
        <v>390</v>
      </c>
      <c r="G307" s="32"/>
      <c r="H307" s="32" t="str">
        <f>IF(LEFT('PL1(Full)'!$F307,4)="Thôn","Thôn","Tổ")</f>
        <v>Thôn</v>
      </c>
      <c r="I307" s="36">
        <v>61</v>
      </c>
      <c r="J307" s="36">
        <v>268</v>
      </c>
      <c r="K307" s="36">
        <v>50</v>
      </c>
      <c r="L307" s="37">
        <f t="shared" si="0"/>
        <v>81.967213114754102</v>
      </c>
      <c r="M307" s="36">
        <v>26</v>
      </c>
      <c r="N307" s="38">
        <f t="shared" si="1"/>
        <v>42.622950819672134</v>
      </c>
      <c r="O307" s="36">
        <v>20</v>
      </c>
      <c r="P307" s="38">
        <f t="shared" si="2"/>
        <v>76.92307692307692</v>
      </c>
      <c r="Q307" s="39" t="s">
        <v>47</v>
      </c>
      <c r="R307" s="39" t="str">
        <f t="shared" si="3"/>
        <v>X</v>
      </c>
      <c r="S307" s="34" t="s">
        <v>60</v>
      </c>
      <c r="T307" s="34" t="str">
        <f>IF('PL1(Full)'!$N307&gt;=20,"x",IF(AND('PL1(Full)'!$N307&gt;=15,'PL1(Full)'!$P307&gt;60),"x",""))</f>
        <v>x</v>
      </c>
      <c r="U307" s="34" t="str">
        <f>IF(AND('PL1(Full)'!$H307="Thôn",'PL1(Full)'!$I307&lt;75),"x",IF(AND('PL1(Full)'!$H307="Tổ",'PL1(Full)'!$I307&lt;100),"x","-"))</f>
        <v>x</v>
      </c>
      <c r="V307" s="34" t="str">
        <f>IF(AND('PL1(Full)'!$H307="Thôn",'PL1(Full)'!$I307&lt;140),"x",IF(AND('PL1(Full)'!$H307="Tổ",'PL1(Full)'!$I307&lt;210),"x","-"))</f>
        <v>x</v>
      </c>
      <c r="W307" s="40" t="str">
        <f t="shared" si="41"/>
        <v>Loại 3</v>
      </c>
      <c r="X307" s="32"/>
    </row>
    <row r="308" spans="1:24" ht="15.75" hidden="1" customHeight="1">
      <c r="A308" s="30">
        <f>_xlfn.AGGREGATE(4,7,A$6:A307)+1</f>
        <v>210</v>
      </c>
      <c r="B308" s="54" t="str">
        <f t="shared" si="40"/>
        <v>H. Bạch Thông</v>
      </c>
      <c r="C308" s="66" t="str">
        <f t="shared" si="53"/>
        <v>X. Vi Hương</v>
      </c>
      <c r="D308" s="32"/>
      <c r="E308" s="32" t="s">
        <v>58</v>
      </c>
      <c r="F308" s="66" t="s">
        <v>391</v>
      </c>
      <c r="G308" s="32"/>
      <c r="H308" s="32" t="str">
        <f>IF(LEFT('PL1(Full)'!$F308,4)="Thôn","Thôn","Tổ")</f>
        <v>Thôn</v>
      </c>
      <c r="I308" s="36">
        <v>93</v>
      </c>
      <c r="J308" s="36">
        <v>372</v>
      </c>
      <c r="K308" s="36">
        <v>81</v>
      </c>
      <c r="L308" s="37">
        <f t="shared" si="0"/>
        <v>87.096774193548384</v>
      </c>
      <c r="M308" s="36">
        <v>23</v>
      </c>
      <c r="N308" s="38">
        <f t="shared" si="1"/>
        <v>24.731182795698924</v>
      </c>
      <c r="O308" s="36">
        <v>18</v>
      </c>
      <c r="P308" s="38">
        <f t="shared" si="2"/>
        <v>78.260869565217391</v>
      </c>
      <c r="Q308" s="39" t="s">
        <v>56</v>
      </c>
      <c r="R308" s="39" t="str">
        <f t="shared" si="3"/>
        <v>X</v>
      </c>
      <c r="S308" s="34" t="s">
        <v>60</v>
      </c>
      <c r="T308" s="34" t="str">
        <f>IF('PL1(Full)'!$N308&gt;=20,"x",IF(AND('PL1(Full)'!$N308&gt;=15,'PL1(Full)'!$P308&gt;60),"x",""))</f>
        <v>x</v>
      </c>
      <c r="U308" s="34" t="str">
        <f>IF(AND('PL1(Full)'!$H308="Thôn",'PL1(Full)'!$I308&lt;75),"x",IF(AND('PL1(Full)'!$H308="Tổ",'PL1(Full)'!$I308&lt;100),"x","-"))</f>
        <v>-</v>
      </c>
      <c r="V308" s="34" t="str">
        <f>IF(AND('PL1(Full)'!$H308="Thôn",'PL1(Full)'!$I308&lt;140),"x",IF(AND('PL1(Full)'!$H308="Tổ",'PL1(Full)'!$I308&lt;210),"x","-"))</f>
        <v>x</v>
      </c>
      <c r="W308" s="40" t="str">
        <f t="shared" si="41"/>
        <v>Loại 3</v>
      </c>
      <c r="X308" s="32"/>
    </row>
    <row r="309" spans="1:24" ht="15.75" customHeight="1">
      <c r="A309" s="30">
        <f>_xlfn.AGGREGATE(4,7,A$6:A308)+1</f>
        <v>210</v>
      </c>
      <c r="B309" s="54" t="str">
        <f t="shared" si="40"/>
        <v>H. Bạch Thông</v>
      </c>
      <c r="C309" s="66" t="str">
        <f t="shared" si="53"/>
        <v>X. Vi Hương</v>
      </c>
      <c r="D309" s="32"/>
      <c r="E309" s="32" t="s">
        <v>58</v>
      </c>
      <c r="F309" s="66" t="s">
        <v>392</v>
      </c>
      <c r="G309" s="32"/>
      <c r="H309" s="32" t="str">
        <f>IF(LEFT('PL1(Full)'!$F309,4)="Thôn","Thôn","Tổ")</f>
        <v>Thôn</v>
      </c>
      <c r="I309" s="36">
        <v>61</v>
      </c>
      <c r="J309" s="36">
        <v>270</v>
      </c>
      <c r="K309" s="36">
        <v>49</v>
      </c>
      <c r="L309" s="37">
        <f t="shared" si="0"/>
        <v>80.327868852459019</v>
      </c>
      <c r="M309" s="36">
        <v>1</v>
      </c>
      <c r="N309" s="38">
        <f t="shared" si="1"/>
        <v>1.639344262295082</v>
      </c>
      <c r="O309" s="36">
        <v>1</v>
      </c>
      <c r="P309" s="38">
        <f t="shared" si="2"/>
        <v>100</v>
      </c>
      <c r="Q309" s="39" t="s">
        <v>158</v>
      </c>
      <c r="R309" s="39" t="str">
        <f t="shared" si="3"/>
        <v>X</v>
      </c>
      <c r="S309" s="34"/>
      <c r="T309" s="34" t="str">
        <f>IF('PL1(Full)'!$N309&gt;=20,"x",IF(AND('PL1(Full)'!$N309&gt;=15,'PL1(Full)'!$P309&gt;60),"x",""))</f>
        <v/>
      </c>
      <c r="U309" s="34" t="str">
        <f>IF(AND('PL1(Full)'!$H309="Thôn",'PL1(Full)'!$I309&lt;75),"x",IF(AND('PL1(Full)'!$H309="Tổ",'PL1(Full)'!$I309&lt;100),"x","-"))</f>
        <v>x</v>
      </c>
      <c r="V309" s="34" t="str">
        <f>IF(AND('PL1(Full)'!$H309="Thôn",'PL1(Full)'!$I309&lt;140),"x",IF(AND('PL1(Full)'!$H309="Tổ",'PL1(Full)'!$I309&lt;210),"x","-"))</f>
        <v>x</v>
      </c>
      <c r="W309" s="40" t="str">
        <f t="shared" si="41"/>
        <v>Loại 3</v>
      </c>
      <c r="X309" s="32"/>
    </row>
    <row r="310" spans="1:24" ht="15.75" customHeight="1">
      <c r="A310" s="30">
        <f>_xlfn.AGGREGATE(4,7,A$6:A309)+1</f>
        <v>211</v>
      </c>
      <c r="B310" s="54" t="str">
        <f t="shared" si="40"/>
        <v>H. Bạch Thông</v>
      </c>
      <c r="C310" s="66" t="str">
        <f t="shared" si="53"/>
        <v>X. Vi Hương</v>
      </c>
      <c r="D310" s="32"/>
      <c r="E310" s="32" t="s">
        <v>58</v>
      </c>
      <c r="F310" s="66" t="s">
        <v>393</v>
      </c>
      <c r="G310" s="32"/>
      <c r="H310" s="32" t="str">
        <f>IF(LEFT('PL1(Full)'!$F310,4)="Thôn","Thôn","Tổ")</f>
        <v>Thôn</v>
      </c>
      <c r="I310" s="36">
        <v>67</v>
      </c>
      <c r="J310" s="36">
        <v>260</v>
      </c>
      <c r="K310" s="36">
        <v>66</v>
      </c>
      <c r="L310" s="37">
        <f t="shared" si="0"/>
        <v>98.507462686567166</v>
      </c>
      <c r="M310" s="36">
        <v>11</v>
      </c>
      <c r="N310" s="38">
        <f t="shared" si="1"/>
        <v>16.417910447761194</v>
      </c>
      <c r="O310" s="36">
        <v>11</v>
      </c>
      <c r="P310" s="38">
        <f t="shared" si="2"/>
        <v>100</v>
      </c>
      <c r="Q310" s="39" t="s">
        <v>56</v>
      </c>
      <c r="R310" s="39" t="str">
        <f t="shared" si="3"/>
        <v>X</v>
      </c>
      <c r="S310" s="34" t="s">
        <v>60</v>
      </c>
      <c r="T310" s="34" t="str">
        <f>IF('PL1(Full)'!$N310&gt;=20,"x",IF(AND('PL1(Full)'!$N310&gt;=15,'PL1(Full)'!$P310&gt;60),"x",""))</f>
        <v>x</v>
      </c>
      <c r="U310" s="34" t="str">
        <f>IF(AND('PL1(Full)'!$H310="Thôn",'PL1(Full)'!$I310&lt;75),"x",IF(AND('PL1(Full)'!$H310="Tổ",'PL1(Full)'!$I310&lt;100),"x","-"))</f>
        <v>x</v>
      </c>
      <c r="V310" s="34" t="str">
        <f>IF(AND('PL1(Full)'!$H310="Thôn",'PL1(Full)'!$I310&lt;140),"x",IF(AND('PL1(Full)'!$H310="Tổ",'PL1(Full)'!$I310&lt;210),"x","-"))</f>
        <v>x</v>
      </c>
      <c r="W310" s="40" t="str">
        <f t="shared" si="41"/>
        <v>Loại 3</v>
      </c>
      <c r="X310" s="32"/>
    </row>
    <row r="311" spans="1:24" ht="15.75" customHeight="1">
      <c r="A311" s="30">
        <f>_xlfn.AGGREGATE(4,7,A$6:A310)+1</f>
        <v>212</v>
      </c>
      <c r="B311" s="54" t="str">
        <f t="shared" si="40"/>
        <v>H. Bạch Thông</v>
      </c>
      <c r="C311" s="66" t="str">
        <f t="shared" si="53"/>
        <v>X. Vi Hương</v>
      </c>
      <c r="D311" s="32"/>
      <c r="E311" s="32" t="s">
        <v>58</v>
      </c>
      <c r="F311" s="66" t="s">
        <v>394</v>
      </c>
      <c r="G311" s="32"/>
      <c r="H311" s="32" t="str">
        <f>IF(LEFT('PL1(Full)'!$F311,4)="Thôn","Thôn","Tổ")</f>
        <v>Thôn</v>
      </c>
      <c r="I311" s="36">
        <v>54</v>
      </c>
      <c r="J311" s="36">
        <v>228</v>
      </c>
      <c r="K311" s="36">
        <v>41</v>
      </c>
      <c r="L311" s="37">
        <f t="shared" si="0"/>
        <v>75.925925925925924</v>
      </c>
      <c r="M311" s="36">
        <v>0</v>
      </c>
      <c r="N311" s="38">
        <f t="shared" si="1"/>
        <v>0</v>
      </c>
      <c r="O311" s="36">
        <v>0</v>
      </c>
      <c r="P311" s="38">
        <f t="shared" si="2"/>
        <v>0</v>
      </c>
      <c r="Q311" s="39" t="s">
        <v>63</v>
      </c>
      <c r="R311" s="39" t="str">
        <f t="shared" si="3"/>
        <v>X</v>
      </c>
      <c r="S311" s="34"/>
      <c r="T311" s="34" t="str">
        <f>IF('PL1(Full)'!$N311&gt;=20,"x",IF(AND('PL1(Full)'!$N311&gt;=15,'PL1(Full)'!$P311&gt;60),"x",""))</f>
        <v/>
      </c>
      <c r="U311" s="34" t="str">
        <f>IF(AND('PL1(Full)'!$H311="Thôn",'PL1(Full)'!$I311&lt;75),"x",IF(AND('PL1(Full)'!$H311="Tổ",'PL1(Full)'!$I311&lt;100),"x","-"))</f>
        <v>x</v>
      </c>
      <c r="V311" s="34" t="str">
        <f>IF(AND('PL1(Full)'!$H311="Thôn",'PL1(Full)'!$I311&lt;140),"x",IF(AND('PL1(Full)'!$H311="Tổ",'PL1(Full)'!$I311&lt;210),"x","-"))</f>
        <v>x</v>
      </c>
      <c r="W311" s="40" t="str">
        <f t="shared" si="41"/>
        <v>Loại 3</v>
      </c>
      <c r="X311" s="32"/>
    </row>
    <row r="312" spans="1:24" ht="15.75" hidden="1" customHeight="1">
      <c r="A312" s="30">
        <f>_xlfn.AGGREGATE(4,7,A$6:A311)+1</f>
        <v>213</v>
      </c>
      <c r="B312" s="54" t="str">
        <f t="shared" si="40"/>
        <v>H. Bạch Thông</v>
      </c>
      <c r="C312" s="66" t="str">
        <f t="shared" si="53"/>
        <v>X. Vi Hương</v>
      </c>
      <c r="D312" s="32"/>
      <c r="E312" s="32" t="s">
        <v>58</v>
      </c>
      <c r="F312" s="66" t="s">
        <v>395</v>
      </c>
      <c r="G312" s="32"/>
      <c r="H312" s="32" t="str">
        <f>IF(LEFT('PL1(Full)'!$F312,4)="Thôn","Thôn","Tổ")</f>
        <v>Thôn</v>
      </c>
      <c r="I312" s="36">
        <v>90</v>
      </c>
      <c r="J312" s="36">
        <v>385</v>
      </c>
      <c r="K312" s="36">
        <v>87</v>
      </c>
      <c r="L312" s="37">
        <f t="shared" si="0"/>
        <v>96.666666666666671</v>
      </c>
      <c r="M312" s="36">
        <v>7</v>
      </c>
      <c r="N312" s="38">
        <f t="shared" si="1"/>
        <v>7.7777777777777777</v>
      </c>
      <c r="O312" s="36">
        <v>7</v>
      </c>
      <c r="P312" s="38">
        <f t="shared" si="2"/>
        <v>100</v>
      </c>
      <c r="Q312" s="39" t="s">
        <v>82</v>
      </c>
      <c r="R312" s="39" t="str">
        <f t="shared" si="3"/>
        <v>X</v>
      </c>
      <c r="S312" s="34" t="s">
        <v>60</v>
      </c>
      <c r="T312" s="34" t="str">
        <f>IF('PL1(Full)'!$N312&gt;=20,"x",IF(AND('PL1(Full)'!$N312&gt;=15,'PL1(Full)'!$P312&gt;60),"x",""))</f>
        <v/>
      </c>
      <c r="U312" s="34" t="str">
        <f>IF(AND('PL1(Full)'!$H312="Thôn",'PL1(Full)'!$I312&lt;75),"x",IF(AND('PL1(Full)'!$H312="Tổ",'PL1(Full)'!$I312&lt;100),"x","-"))</f>
        <v>-</v>
      </c>
      <c r="V312" s="34" t="str">
        <f>IF(AND('PL1(Full)'!$H312="Thôn",'PL1(Full)'!$I312&lt;140),"x",IF(AND('PL1(Full)'!$H312="Tổ",'PL1(Full)'!$I312&lt;210),"x","-"))</f>
        <v>x</v>
      </c>
      <c r="W312" s="40" t="str">
        <f t="shared" si="41"/>
        <v>Loại 3</v>
      </c>
      <c r="X312" s="32"/>
    </row>
    <row r="313" spans="1:24" ht="15.75" hidden="1" customHeight="1">
      <c r="A313" s="30">
        <f>_xlfn.AGGREGATE(4,7,A$6:A312)+1</f>
        <v>213</v>
      </c>
      <c r="B313" s="54" t="str">
        <f t="shared" si="40"/>
        <v>H. Bạch Thông</v>
      </c>
      <c r="C313" s="66" t="str">
        <f t="shared" si="53"/>
        <v>X. Vi Hương</v>
      </c>
      <c r="D313" s="32"/>
      <c r="E313" s="32" t="s">
        <v>58</v>
      </c>
      <c r="F313" s="66" t="s">
        <v>396</v>
      </c>
      <c r="G313" s="32"/>
      <c r="H313" s="32" t="str">
        <f>IF(LEFT('PL1(Full)'!$F313,4)="Thôn","Thôn","Tổ")</f>
        <v>Thôn</v>
      </c>
      <c r="I313" s="36">
        <v>97</v>
      </c>
      <c r="J313" s="36">
        <v>371</v>
      </c>
      <c r="K313" s="36">
        <v>93</v>
      </c>
      <c r="L313" s="37">
        <f t="shared" si="0"/>
        <v>95.876288659793815</v>
      </c>
      <c r="M313" s="36">
        <v>11</v>
      </c>
      <c r="N313" s="38">
        <f t="shared" si="1"/>
        <v>11.340206185567011</v>
      </c>
      <c r="O313" s="36">
        <v>9</v>
      </c>
      <c r="P313" s="38">
        <f t="shared" si="2"/>
        <v>81.818181818181813</v>
      </c>
      <c r="Q313" s="39" t="s">
        <v>150</v>
      </c>
      <c r="R313" s="39" t="str">
        <f t="shared" si="3"/>
        <v>X</v>
      </c>
      <c r="S313" s="34"/>
      <c r="T313" s="34" t="str">
        <f>IF('PL1(Full)'!$N313&gt;=20,"x",IF(AND('PL1(Full)'!$N313&gt;=15,'PL1(Full)'!$P313&gt;60),"x",""))</f>
        <v/>
      </c>
      <c r="U313" s="34" t="str">
        <f>IF(AND('PL1(Full)'!$H313="Thôn",'PL1(Full)'!$I313&lt;75),"x",IF(AND('PL1(Full)'!$H313="Tổ",'PL1(Full)'!$I313&lt;100),"x","-"))</f>
        <v>-</v>
      </c>
      <c r="V313" s="34" t="str">
        <f>IF(AND('PL1(Full)'!$H313="Thôn",'PL1(Full)'!$I313&lt;140),"x",IF(AND('PL1(Full)'!$H313="Tổ",'PL1(Full)'!$I313&lt;210),"x","-"))</f>
        <v>x</v>
      </c>
      <c r="W313" s="40" t="str">
        <f t="shared" si="41"/>
        <v>Loại 3</v>
      </c>
      <c r="X313" s="32"/>
    </row>
    <row r="314" spans="1:24" ht="15.75" customHeight="1">
      <c r="A314" s="41">
        <f>_xlfn.AGGREGATE(4,7,A$6:A313)+1</f>
        <v>213</v>
      </c>
      <c r="B314" s="55" t="str">
        <f t="shared" si="40"/>
        <v>H. Bạch Thông</v>
      </c>
      <c r="C314" s="67" t="str">
        <f t="shared" si="53"/>
        <v>X. Vi Hương</v>
      </c>
      <c r="D314" s="43"/>
      <c r="E314" s="43" t="s">
        <v>58</v>
      </c>
      <c r="F314" s="67" t="s">
        <v>397</v>
      </c>
      <c r="G314" s="43"/>
      <c r="H314" s="43" t="str">
        <f>IF(LEFT('PL1(Full)'!$F314,4)="Thôn","Thôn","Tổ")</f>
        <v>Thôn</v>
      </c>
      <c r="I314" s="46">
        <v>62</v>
      </c>
      <c r="J314" s="46">
        <v>274</v>
      </c>
      <c r="K314" s="46">
        <v>61</v>
      </c>
      <c r="L314" s="47">
        <f t="shared" si="0"/>
        <v>98.387096774193552</v>
      </c>
      <c r="M314" s="46">
        <v>11</v>
      </c>
      <c r="N314" s="48">
        <f t="shared" si="1"/>
        <v>17.741935483870968</v>
      </c>
      <c r="O314" s="46">
        <v>11</v>
      </c>
      <c r="P314" s="48">
        <f t="shared" si="2"/>
        <v>100</v>
      </c>
      <c r="Q314" s="49" t="s">
        <v>56</v>
      </c>
      <c r="R314" s="49" t="str">
        <f t="shared" si="3"/>
        <v>X</v>
      </c>
      <c r="S314" s="50" t="s">
        <v>60</v>
      </c>
      <c r="T314" s="50" t="str">
        <f>IF('PL1(Full)'!$N314&gt;=20,"x",IF(AND('PL1(Full)'!$N314&gt;=15,'PL1(Full)'!$P314&gt;60),"x",""))</f>
        <v>x</v>
      </c>
      <c r="U314" s="50" t="str">
        <f>IF(AND('PL1(Full)'!$H314="Thôn",'PL1(Full)'!$I314&lt;75),"x",IF(AND('PL1(Full)'!$H314="Tổ",'PL1(Full)'!$I314&lt;100),"x","-"))</f>
        <v>x</v>
      </c>
      <c r="V314" s="34" t="str">
        <f>IF(AND('PL1(Full)'!$H314="Thôn",'PL1(Full)'!$I314&lt;140),"x",IF(AND('PL1(Full)'!$H314="Tổ",'PL1(Full)'!$I314&lt;210),"x","-"))</f>
        <v>x</v>
      </c>
      <c r="W314" s="51" t="str">
        <f t="shared" si="41"/>
        <v>Loại 3</v>
      </c>
      <c r="X314" s="43"/>
    </row>
    <row r="315" spans="1:24" ht="15.75" customHeight="1">
      <c r="A315" s="52">
        <f>_xlfn.AGGREGATE(4,7,A$6:A314)+1</f>
        <v>214</v>
      </c>
      <c r="B315" s="53" t="str">
        <f t="shared" si="40"/>
        <v>H. Bạch Thông</v>
      </c>
      <c r="C315" s="14" t="s">
        <v>398</v>
      </c>
      <c r="D315" s="15" t="s">
        <v>58</v>
      </c>
      <c r="E315" s="16" t="s">
        <v>58</v>
      </c>
      <c r="F315" s="65" t="s">
        <v>399</v>
      </c>
      <c r="G315" s="18"/>
      <c r="H315" s="18" t="str">
        <f>IF(LEFT('PL1(Full)'!$F315,4)="Thôn","Thôn","Tổ")</f>
        <v>Thôn</v>
      </c>
      <c r="I315" s="19">
        <v>48</v>
      </c>
      <c r="J315" s="19">
        <v>179</v>
      </c>
      <c r="K315" s="19">
        <v>48</v>
      </c>
      <c r="L315" s="21">
        <f t="shared" si="0"/>
        <v>100</v>
      </c>
      <c r="M315" s="19">
        <v>8</v>
      </c>
      <c r="N315" s="22">
        <f t="shared" si="1"/>
        <v>16.666666666666668</v>
      </c>
      <c r="O315" s="19">
        <v>8</v>
      </c>
      <c r="P315" s="22">
        <f t="shared" si="2"/>
        <v>100</v>
      </c>
      <c r="Q315" s="72" t="s">
        <v>56</v>
      </c>
      <c r="R315" s="72" t="str">
        <f t="shared" si="3"/>
        <v>X</v>
      </c>
      <c r="S315" s="73" t="s">
        <v>60</v>
      </c>
      <c r="T315" s="26" t="str">
        <f>IF('PL1(Full)'!$N315&gt;=20,"x",IF(AND('PL1(Full)'!$N315&gt;=15,'PL1(Full)'!$P315&gt;60),"x",""))</f>
        <v>x</v>
      </c>
      <c r="U315" s="27" t="str">
        <f>IF(AND('PL1(Full)'!$H315="Thôn",'PL1(Full)'!$I315&lt;75),"x",IF(AND('PL1(Full)'!$H315="Tổ",'PL1(Full)'!$I315&lt;100),"x","-"))</f>
        <v>x</v>
      </c>
      <c r="V315" s="28" t="str">
        <f>IF(AND('PL1(Full)'!$H315="Thôn",'PL1(Full)'!$I315&lt;140),"x",IF(AND('PL1(Full)'!$H315="Tổ",'PL1(Full)'!$I315&lt;210),"x","-"))</f>
        <v>x</v>
      </c>
      <c r="W315" s="29" t="str">
        <f t="shared" si="41"/>
        <v>Loại 3</v>
      </c>
      <c r="X315" s="18"/>
    </row>
    <row r="316" spans="1:24" ht="15.75" customHeight="1">
      <c r="A316" s="30">
        <f>_xlfn.AGGREGATE(4,7,A$6:A315)+1</f>
        <v>215</v>
      </c>
      <c r="B316" s="54" t="str">
        <f t="shared" si="40"/>
        <v>H. Bạch Thông</v>
      </c>
      <c r="C316" s="66" t="str">
        <f t="shared" ref="C316:C324" si="54">C315</f>
        <v>X. Vũ Muộn</v>
      </c>
      <c r="D316" s="32"/>
      <c r="E316" s="32" t="s">
        <v>58</v>
      </c>
      <c r="F316" s="66" t="s">
        <v>400</v>
      </c>
      <c r="G316" s="32"/>
      <c r="H316" s="32" t="str">
        <f>IF(LEFT('PL1(Full)'!$F316,4)="Thôn","Thôn","Tổ")</f>
        <v>Thôn</v>
      </c>
      <c r="I316" s="35">
        <v>43</v>
      </c>
      <c r="J316" s="35">
        <v>155</v>
      </c>
      <c r="K316" s="35">
        <v>43</v>
      </c>
      <c r="L316" s="37">
        <f t="shared" si="0"/>
        <v>100</v>
      </c>
      <c r="M316" s="35">
        <v>8</v>
      </c>
      <c r="N316" s="38">
        <f t="shared" si="1"/>
        <v>18.604651162790699</v>
      </c>
      <c r="O316" s="35">
        <v>8</v>
      </c>
      <c r="P316" s="38">
        <f t="shared" si="2"/>
        <v>100</v>
      </c>
      <c r="Q316" s="76" t="s">
        <v>56</v>
      </c>
      <c r="R316" s="76" t="str">
        <f t="shared" si="3"/>
        <v>X</v>
      </c>
      <c r="S316" s="77" t="s">
        <v>60</v>
      </c>
      <c r="T316" s="34" t="str">
        <f>IF('PL1(Full)'!$N316&gt;=20,"x",IF(AND('PL1(Full)'!$N316&gt;=15,'PL1(Full)'!$P316&gt;60),"x",""))</f>
        <v>x</v>
      </c>
      <c r="U316" s="34" t="str">
        <f>IF(AND('PL1(Full)'!$H316="Thôn",'PL1(Full)'!$I316&lt;75),"x",IF(AND('PL1(Full)'!$H316="Tổ",'PL1(Full)'!$I316&lt;100),"x","-"))</f>
        <v>x</v>
      </c>
      <c r="V316" s="34" t="str">
        <f>IF(AND('PL1(Full)'!$H316="Thôn",'PL1(Full)'!$I316&lt;140),"x",IF(AND('PL1(Full)'!$H316="Tổ",'PL1(Full)'!$I316&lt;210),"x","-"))</f>
        <v>x</v>
      </c>
      <c r="W316" s="40" t="str">
        <f t="shared" si="41"/>
        <v>Loại 3</v>
      </c>
      <c r="X316" s="32"/>
    </row>
    <row r="317" spans="1:24" ht="15.75" customHeight="1">
      <c r="A317" s="30">
        <f>_xlfn.AGGREGATE(4,7,A$6:A316)+1</f>
        <v>216</v>
      </c>
      <c r="B317" s="54" t="str">
        <f t="shared" si="40"/>
        <v>H. Bạch Thông</v>
      </c>
      <c r="C317" s="66" t="str">
        <f t="shared" si="54"/>
        <v>X. Vũ Muộn</v>
      </c>
      <c r="D317" s="32"/>
      <c r="E317" s="32" t="s">
        <v>58</v>
      </c>
      <c r="F317" s="66" t="s">
        <v>401</v>
      </c>
      <c r="G317" s="32"/>
      <c r="H317" s="32" t="str">
        <f>IF(LEFT('PL1(Full)'!$F317,4)="Thôn","Thôn","Tổ")</f>
        <v>Thôn</v>
      </c>
      <c r="I317" s="35">
        <v>22</v>
      </c>
      <c r="J317" s="35">
        <v>87</v>
      </c>
      <c r="K317" s="35">
        <v>22</v>
      </c>
      <c r="L317" s="37">
        <f t="shared" si="0"/>
        <v>100</v>
      </c>
      <c r="M317" s="35">
        <v>1</v>
      </c>
      <c r="N317" s="38">
        <f t="shared" si="1"/>
        <v>4.5454545454545459</v>
      </c>
      <c r="O317" s="35">
        <v>1</v>
      </c>
      <c r="P317" s="38">
        <f t="shared" si="2"/>
        <v>100</v>
      </c>
      <c r="Q317" s="76" t="s">
        <v>63</v>
      </c>
      <c r="R317" s="74" t="str">
        <f t="shared" si="3"/>
        <v>X</v>
      </c>
      <c r="S317" s="75" t="s">
        <v>60</v>
      </c>
      <c r="T317" s="34" t="str">
        <f>IF('PL1(Full)'!$N317&gt;=20,"x",IF(AND('PL1(Full)'!$N317&gt;=15,'PL1(Full)'!$P317&gt;60),"x",""))</f>
        <v/>
      </c>
      <c r="U317" s="34" t="str">
        <f>IF(AND('PL1(Full)'!$H317="Thôn",'PL1(Full)'!$I317&lt;75),"x",IF(AND('PL1(Full)'!$H317="Tổ",'PL1(Full)'!$I317&lt;100),"x","-"))</f>
        <v>x</v>
      </c>
      <c r="V317" s="34" t="str">
        <f>IF(AND('PL1(Full)'!$H317="Thôn",'PL1(Full)'!$I317&lt;140),"x",IF(AND('PL1(Full)'!$H317="Tổ",'PL1(Full)'!$I317&lt;210),"x","-"))</f>
        <v>x</v>
      </c>
      <c r="W317" s="40" t="str">
        <f t="shared" si="41"/>
        <v>Loại 3</v>
      </c>
      <c r="X317" s="32"/>
    </row>
    <row r="318" spans="1:24" ht="15.75" customHeight="1">
      <c r="A318" s="30">
        <f>_xlfn.AGGREGATE(4,7,A$6:A317)+1</f>
        <v>217</v>
      </c>
      <c r="B318" s="54" t="str">
        <f t="shared" si="40"/>
        <v>H. Bạch Thông</v>
      </c>
      <c r="C318" s="66" t="str">
        <f t="shared" si="54"/>
        <v>X. Vũ Muộn</v>
      </c>
      <c r="D318" s="32"/>
      <c r="E318" s="32" t="s">
        <v>58</v>
      </c>
      <c r="F318" s="66" t="s">
        <v>402</v>
      </c>
      <c r="G318" s="32"/>
      <c r="H318" s="32" t="str">
        <f>IF(LEFT('PL1(Full)'!$F318,4)="Thôn","Thôn","Tổ")</f>
        <v>Thôn</v>
      </c>
      <c r="I318" s="35">
        <v>50</v>
      </c>
      <c r="J318" s="35">
        <v>171</v>
      </c>
      <c r="K318" s="35">
        <v>49</v>
      </c>
      <c r="L318" s="37">
        <f t="shared" si="0"/>
        <v>98</v>
      </c>
      <c r="M318" s="35">
        <v>6</v>
      </c>
      <c r="N318" s="38">
        <f t="shared" si="1"/>
        <v>12</v>
      </c>
      <c r="O318" s="35">
        <v>6</v>
      </c>
      <c r="P318" s="38">
        <f t="shared" si="2"/>
        <v>100</v>
      </c>
      <c r="Q318" s="76" t="s">
        <v>56</v>
      </c>
      <c r="R318" s="76" t="str">
        <f t="shared" si="3"/>
        <v>X</v>
      </c>
      <c r="S318" s="77"/>
      <c r="T318" s="34" t="str">
        <f>IF('PL1(Full)'!$N318&gt;=20,"x",IF(AND('PL1(Full)'!$N318&gt;=15,'PL1(Full)'!$P318&gt;60),"x",""))</f>
        <v/>
      </c>
      <c r="U318" s="34" t="str">
        <f>IF(AND('PL1(Full)'!$H318="Thôn",'PL1(Full)'!$I318&lt;75),"x",IF(AND('PL1(Full)'!$H318="Tổ",'PL1(Full)'!$I318&lt;100),"x","-"))</f>
        <v>x</v>
      </c>
      <c r="V318" s="34" t="str">
        <f>IF(AND('PL1(Full)'!$H318="Thôn",'PL1(Full)'!$I318&lt;140),"x",IF(AND('PL1(Full)'!$H318="Tổ",'PL1(Full)'!$I318&lt;210),"x","-"))</f>
        <v>x</v>
      </c>
      <c r="W318" s="40" t="str">
        <f t="shared" si="41"/>
        <v>Loại 3</v>
      </c>
      <c r="X318" s="32"/>
    </row>
    <row r="319" spans="1:24" ht="15.75" customHeight="1">
      <c r="A319" s="30">
        <f>_xlfn.AGGREGATE(4,7,A$6:A318)+1</f>
        <v>218</v>
      </c>
      <c r="B319" s="54" t="str">
        <f t="shared" si="40"/>
        <v>H. Bạch Thông</v>
      </c>
      <c r="C319" s="66" t="str">
        <f t="shared" si="54"/>
        <v>X. Vũ Muộn</v>
      </c>
      <c r="D319" s="32"/>
      <c r="E319" s="32" t="s">
        <v>58</v>
      </c>
      <c r="F319" s="66" t="s">
        <v>403</v>
      </c>
      <c r="G319" s="32"/>
      <c r="H319" s="32" t="str">
        <f>IF(LEFT('PL1(Full)'!$F319,4)="Thôn","Thôn","Tổ")</f>
        <v>Thôn</v>
      </c>
      <c r="I319" s="35">
        <v>21</v>
      </c>
      <c r="J319" s="35">
        <v>101</v>
      </c>
      <c r="K319" s="35">
        <v>21</v>
      </c>
      <c r="L319" s="37">
        <f t="shared" si="0"/>
        <v>100</v>
      </c>
      <c r="M319" s="35">
        <v>8</v>
      </c>
      <c r="N319" s="38">
        <f t="shared" si="1"/>
        <v>38.095238095238095</v>
      </c>
      <c r="O319" s="35">
        <v>8</v>
      </c>
      <c r="P319" s="38">
        <f t="shared" si="2"/>
        <v>100</v>
      </c>
      <c r="Q319" s="76" t="s">
        <v>63</v>
      </c>
      <c r="R319" s="76" t="str">
        <f t="shared" si="3"/>
        <v>X</v>
      </c>
      <c r="S319" s="77" t="s">
        <v>60</v>
      </c>
      <c r="T319" s="34" t="str">
        <f>IF('PL1(Full)'!$N319&gt;=20,"x",IF(AND('PL1(Full)'!$N319&gt;=15,'PL1(Full)'!$P319&gt;60),"x",""))</f>
        <v>x</v>
      </c>
      <c r="U319" s="34" t="str">
        <f>IF(AND('PL1(Full)'!$H319="Thôn",'PL1(Full)'!$I319&lt;75),"x",IF(AND('PL1(Full)'!$H319="Tổ",'PL1(Full)'!$I319&lt;100),"x","-"))</f>
        <v>x</v>
      </c>
      <c r="V319" s="34" t="str">
        <f>IF(AND('PL1(Full)'!$H319="Thôn",'PL1(Full)'!$I319&lt;140),"x",IF(AND('PL1(Full)'!$H319="Tổ",'PL1(Full)'!$I319&lt;210),"x","-"))</f>
        <v>x</v>
      </c>
      <c r="W319" s="40" t="str">
        <f t="shared" si="41"/>
        <v>Loại 3</v>
      </c>
      <c r="X319" s="32"/>
    </row>
    <row r="320" spans="1:24" ht="15.75" customHeight="1">
      <c r="A320" s="30">
        <f>_xlfn.AGGREGATE(4,7,A$6:A319)+1</f>
        <v>219</v>
      </c>
      <c r="B320" s="54" t="str">
        <f t="shared" si="40"/>
        <v>H. Bạch Thông</v>
      </c>
      <c r="C320" s="66" t="str">
        <f t="shared" si="54"/>
        <v>X. Vũ Muộn</v>
      </c>
      <c r="D320" s="32"/>
      <c r="E320" s="32" t="s">
        <v>58</v>
      </c>
      <c r="F320" s="66" t="s">
        <v>404</v>
      </c>
      <c r="G320" s="32"/>
      <c r="H320" s="32" t="str">
        <f>IF(LEFT('PL1(Full)'!$F320,4)="Thôn","Thôn","Tổ")</f>
        <v>Thôn</v>
      </c>
      <c r="I320" s="35">
        <v>37</v>
      </c>
      <c r="J320" s="35">
        <v>146</v>
      </c>
      <c r="K320" s="35">
        <v>37</v>
      </c>
      <c r="L320" s="37">
        <f t="shared" si="0"/>
        <v>100</v>
      </c>
      <c r="M320" s="35">
        <v>15</v>
      </c>
      <c r="N320" s="38">
        <f t="shared" si="1"/>
        <v>40.54054054054054</v>
      </c>
      <c r="O320" s="35">
        <v>15</v>
      </c>
      <c r="P320" s="38">
        <f t="shared" si="2"/>
        <v>100</v>
      </c>
      <c r="Q320" s="76" t="s">
        <v>56</v>
      </c>
      <c r="R320" s="76" t="str">
        <f t="shared" si="3"/>
        <v>X</v>
      </c>
      <c r="S320" s="77" t="s">
        <v>60</v>
      </c>
      <c r="T320" s="34" t="str">
        <f>IF('PL1(Full)'!$N320&gt;=20,"x",IF(AND('PL1(Full)'!$N320&gt;=15,'PL1(Full)'!$P320&gt;60),"x",""))</f>
        <v>x</v>
      </c>
      <c r="U320" s="34" t="str">
        <f>IF(AND('PL1(Full)'!$H320="Thôn",'PL1(Full)'!$I320&lt;75),"x",IF(AND('PL1(Full)'!$H320="Tổ",'PL1(Full)'!$I320&lt;100),"x","-"))</f>
        <v>x</v>
      </c>
      <c r="V320" s="34" t="str">
        <f>IF(AND('PL1(Full)'!$H320="Thôn",'PL1(Full)'!$I320&lt;140),"x",IF(AND('PL1(Full)'!$H320="Tổ",'PL1(Full)'!$I320&lt;210),"x","-"))</f>
        <v>x</v>
      </c>
      <c r="W320" s="40" t="str">
        <f t="shared" si="41"/>
        <v>Loại 3</v>
      </c>
      <c r="X320" s="32"/>
    </row>
    <row r="321" spans="1:24" ht="15.75" customHeight="1">
      <c r="A321" s="30">
        <f>_xlfn.AGGREGATE(4,7,A$6:A320)+1</f>
        <v>220</v>
      </c>
      <c r="B321" s="54" t="str">
        <f t="shared" si="40"/>
        <v>H. Bạch Thông</v>
      </c>
      <c r="C321" s="66" t="str">
        <f t="shared" si="54"/>
        <v>X. Vũ Muộn</v>
      </c>
      <c r="D321" s="32"/>
      <c r="E321" s="32" t="s">
        <v>58</v>
      </c>
      <c r="F321" s="66" t="s">
        <v>405</v>
      </c>
      <c r="G321" s="32"/>
      <c r="H321" s="32" t="str">
        <f>IF(LEFT('PL1(Full)'!$F321,4)="Thôn","Thôn","Tổ")</f>
        <v>Thôn</v>
      </c>
      <c r="I321" s="35">
        <v>44</v>
      </c>
      <c r="J321" s="35">
        <v>178</v>
      </c>
      <c r="K321" s="35">
        <v>44</v>
      </c>
      <c r="L321" s="37">
        <f t="shared" si="0"/>
        <v>100</v>
      </c>
      <c r="M321" s="35">
        <v>5</v>
      </c>
      <c r="N321" s="38">
        <f t="shared" si="1"/>
        <v>11.363636363636363</v>
      </c>
      <c r="O321" s="35">
        <v>5</v>
      </c>
      <c r="P321" s="38">
        <f t="shared" si="2"/>
        <v>100</v>
      </c>
      <c r="Q321" s="76" t="s">
        <v>56</v>
      </c>
      <c r="R321" s="74" t="str">
        <f t="shared" si="3"/>
        <v>X</v>
      </c>
      <c r="S321" s="75" t="s">
        <v>60</v>
      </c>
      <c r="T321" s="34" t="str">
        <f>IF('PL1(Full)'!$N321&gt;=20,"x",IF(AND('PL1(Full)'!$N321&gt;=15,'PL1(Full)'!$P321&gt;60),"x",""))</f>
        <v/>
      </c>
      <c r="U321" s="34" t="str">
        <f>IF(AND('PL1(Full)'!$H321="Thôn",'PL1(Full)'!$I321&lt;75),"x",IF(AND('PL1(Full)'!$H321="Tổ",'PL1(Full)'!$I321&lt;100),"x","-"))</f>
        <v>x</v>
      </c>
      <c r="V321" s="34" t="str">
        <f>IF(AND('PL1(Full)'!$H321="Thôn",'PL1(Full)'!$I321&lt;140),"x",IF(AND('PL1(Full)'!$H321="Tổ",'PL1(Full)'!$I321&lt;210),"x","-"))</f>
        <v>x</v>
      </c>
      <c r="W321" s="40" t="str">
        <f t="shared" si="41"/>
        <v>Loại 3</v>
      </c>
      <c r="X321" s="32"/>
    </row>
    <row r="322" spans="1:24" ht="15.75" customHeight="1">
      <c r="A322" s="30">
        <f>_xlfn.AGGREGATE(4,7,A$6:A321)+1</f>
        <v>221</v>
      </c>
      <c r="B322" s="54" t="str">
        <f t="shared" si="40"/>
        <v>H. Bạch Thông</v>
      </c>
      <c r="C322" s="66" t="str">
        <f t="shared" si="54"/>
        <v>X. Vũ Muộn</v>
      </c>
      <c r="D322" s="32"/>
      <c r="E322" s="32" t="s">
        <v>58</v>
      </c>
      <c r="F322" s="66" t="s">
        <v>406</v>
      </c>
      <c r="G322" s="32"/>
      <c r="H322" s="32" t="str">
        <f>IF(LEFT('PL1(Full)'!$F322,4)="Thôn","Thôn","Tổ")</f>
        <v>Thôn</v>
      </c>
      <c r="I322" s="35">
        <v>66</v>
      </c>
      <c r="J322" s="35">
        <v>274</v>
      </c>
      <c r="K322" s="35">
        <v>66</v>
      </c>
      <c r="L322" s="37">
        <f t="shared" si="0"/>
        <v>100</v>
      </c>
      <c r="M322" s="35">
        <v>21</v>
      </c>
      <c r="N322" s="38">
        <f t="shared" si="1"/>
        <v>31.818181818181817</v>
      </c>
      <c r="O322" s="35">
        <v>21</v>
      </c>
      <c r="P322" s="38">
        <f t="shared" si="2"/>
        <v>100</v>
      </c>
      <c r="Q322" s="76" t="s">
        <v>56</v>
      </c>
      <c r="R322" s="76" t="str">
        <f t="shared" si="3"/>
        <v>X</v>
      </c>
      <c r="S322" s="77" t="s">
        <v>60</v>
      </c>
      <c r="T322" s="34" t="str">
        <f>IF('PL1(Full)'!$N322&gt;=20,"x",IF(AND('PL1(Full)'!$N322&gt;=15,'PL1(Full)'!$P322&gt;60),"x",""))</f>
        <v>x</v>
      </c>
      <c r="U322" s="34" t="str">
        <f>IF(AND('PL1(Full)'!$H322="Thôn",'PL1(Full)'!$I322&lt;75),"x",IF(AND('PL1(Full)'!$H322="Tổ",'PL1(Full)'!$I322&lt;100),"x","-"))</f>
        <v>x</v>
      </c>
      <c r="V322" s="34" t="str">
        <f>IF(AND('PL1(Full)'!$H322="Thôn",'PL1(Full)'!$I322&lt;140),"x",IF(AND('PL1(Full)'!$H322="Tổ",'PL1(Full)'!$I322&lt;210),"x","-"))</f>
        <v>x</v>
      </c>
      <c r="W322" s="40" t="str">
        <f t="shared" si="41"/>
        <v>Loại 3</v>
      </c>
      <c r="X322" s="32"/>
    </row>
    <row r="323" spans="1:24" ht="15.75" customHeight="1">
      <c r="A323" s="30">
        <f>_xlfn.AGGREGATE(4,7,A$6:A322)+1</f>
        <v>222</v>
      </c>
      <c r="B323" s="54" t="str">
        <f t="shared" si="40"/>
        <v>H. Bạch Thông</v>
      </c>
      <c r="C323" s="66" t="str">
        <f t="shared" si="54"/>
        <v>X. Vũ Muộn</v>
      </c>
      <c r="D323" s="32"/>
      <c r="E323" s="32" t="s">
        <v>58</v>
      </c>
      <c r="F323" s="66" t="s">
        <v>407</v>
      </c>
      <c r="G323" s="32"/>
      <c r="H323" s="32" t="str">
        <f>IF(LEFT('PL1(Full)'!$F323,4)="Thôn","Thôn","Tổ")</f>
        <v>Thôn</v>
      </c>
      <c r="I323" s="35">
        <v>51</v>
      </c>
      <c r="J323" s="35">
        <v>174</v>
      </c>
      <c r="K323" s="35">
        <v>51</v>
      </c>
      <c r="L323" s="37">
        <f t="shared" si="0"/>
        <v>100</v>
      </c>
      <c r="M323" s="35">
        <v>7</v>
      </c>
      <c r="N323" s="38">
        <f t="shared" si="1"/>
        <v>13.725490196078431</v>
      </c>
      <c r="O323" s="35">
        <v>7</v>
      </c>
      <c r="P323" s="38">
        <f t="shared" si="2"/>
        <v>100</v>
      </c>
      <c r="Q323" s="76" t="s">
        <v>56</v>
      </c>
      <c r="R323" s="74" t="str">
        <f t="shared" si="3"/>
        <v>X</v>
      </c>
      <c r="S323" s="75" t="s">
        <v>60</v>
      </c>
      <c r="T323" s="34" t="str">
        <f>IF('PL1(Full)'!$N323&gt;=20,"x",IF(AND('PL1(Full)'!$N323&gt;=15,'PL1(Full)'!$P323&gt;60),"x",""))</f>
        <v/>
      </c>
      <c r="U323" s="34" t="str">
        <f>IF(AND('PL1(Full)'!$H323="Thôn",'PL1(Full)'!$I323&lt;75),"x",IF(AND('PL1(Full)'!$H323="Tổ",'PL1(Full)'!$I323&lt;100),"x","-"))</f>
        <v>x</v>
      </c>
      <c r="V323" s="34" t="str">
        <f>IF(AND('PL1(Full)'!$H323="Thôn",'PL1(Full)'!$I323&lt;140),"x",IF(AND('PL1(Full)'!$H323="Tổ",'PL1(Full)'!$I323&lt;210),"x","-"))</f>
        <v>x</v>
      </c>
      <c r="W323" s="40" t="str">
        <f t="shared" si="41"/>
        <v>Loại 3</v>
      </c>
      <c r="X323" s="32"/>
    </row>
    <row r="324" spans="1:24" ht="15.75" customHeight="1">
      <c r="A324" s="41">
        <f>_xlfn.AGGREGATE(4,7,A$6:A323)+1</f>
        <v>223</v>
      </c>
      <c r="B324" s="55" t="str">
        <f t="shared" si="40"/>
        <v>H. Bạch Thông</v>
      </c>
      <c r="C324" s="67" t="str">
        <f t="shared" si="54"/>
        <v>X. Vũ Muộn</v>
      </c>
      <c r="D324" s="43"/>
      <c r="E324" s="43" t="s">
        <v>58</v>
      </c>
      <c r="F324" s="67" t="s">
        <v>408</v>
      </c>
      <c r="G324" s="43"/>
      <c r="H324" s="43" t="str">
        <f>IF(LEFT('PL1(Full)'!$F324,4)="Thôn","Thôn","Tổ")</f>
        <v>Thôn</v>
      </c>
      <c r="I324" s="45">
        <v>54</v>
      </c>
      <c r="J324" s="45">
        <v>209</v>
      </c>
      <c r="K324" s="45">
        <v>52</v>
      </c>
      <c r="L324" s="47">
        <f t="shared" si="0"/>
        <v>96.296296296296291</v>
      </c>
      <c r="M324" s="45">
        <v>4</v>
      </c>
      <c r="N324" s="48">
        <f t="shared" si="1"/>
        <v>7.4074074074074074</v>
      </c>
      <c r="O324" s="45">
        <v>4</v>
      </c>
      <c r="P324" s="48">
        <f t="shared" si="2"/>
        <v>100</v>
      </c>
      <c r="Q324" s="76" t="s">
        <v>56</v>
      </c>
      <c r="R324" s="94" t="str">
        <f t="shared" si="3"/>
        <v>X</v>
      </c>
      <c r="S324" s="79" t="s">
        <v>60</v>
      </c>
      <c r="T324" s="50" t="str">
        <f>IF('PL1(Full)'!$N324&gt;=20,"x",IF(AND('PL1(Full)'!$N324&gt;=15,'PL1(Full)'!$P324&gt;60),"x",""))</f>
        <v/>
      </c>
      <c r="U324" s="50" t="str">
        <f>IF(AND('PL1(Full)'!$H324="Thôn",'PL1(Full)'!$I324&lt;75),"x",IF(AND('PL1(Full)'!$H324="Tổ",'PL1(Full)'!$I324&lt;100),"x","-"))</f>
        <v>x</v>
      </c>
      <c r="V324" s="34" t="str">
        <f>IF(AND('PL1(Full)'!$H324="Thôn",'PL1(Full)'!$I324&lt;140),"x",IF(AND('PL1(Full)'!$H324="Tổ",'PL1(Full)'!$I324&lt;210),"x","-"))</f>
        <v>x</v>
      </c>
      <c r="W324" s="51" t="str">
        <f t="shared" si="41"/>
        <v>Loại 3</v>
      </c>
      <c r="X324" s="43"/>
    </row>
    <row r="325" spans="1:24" ht="15.75" customHeight="1">
      <c r="A325" s="12">
        <f>_xlfn.AGGREGATE(4,7,A$6:A324)+1</f>
        <v>224</v>
      </c>
      <c r="B325" s="13" t="s">
        <v>409</v>
      </c>
      <c r="C325" s="14" t="s">
        <v>410</v>
      </c>
      <c r="D325" s="25" t="s">
        <v>36</v>
      </c>
      <c r="E325" s="25" t="s">
        <v>36</v>
      </c>
      <c r="F325" s="95" t="s">
        <v>411</v>
      </c>
      <c r="G325" s="25"/>
      <c r="H325" s="25" t="str">
        <f>IF(LEFT('PL1(Full)'!$F325,4)="Thôn","Thôn","Tổ")</f>
        <v>Tổ</v>
      </c>
      <c r="I325" s="19">
        <v>87</v>
      </c>
      <c r="J325" s="19">
        <v>346</v>
      </c>
      <c r="K325" s="19">
        <v>69</v>
      </c>
      <c r="L325" s="21">
        <f t="shared" si="0"/>
        <v>79.310344827586206</v>
      </c>
      <c r="M325" s="19">
        <v>1</v>
      </c>
      <c r="N325" s="22">
        <f t="shared" si="1"/>
        <v>1.1494252873563218</v>
      </c>
      <c r="O325" s="20">
        <v>0</v>
      </c>
      <c r="P325" s="22">
        <f t="shared" si="2"/>
        <v>0</v>
      </c>
      <c r="Q325" s="87" t="s">
        <v>56</v>
      </c>
      <c r="R325" s="87" t="str">
        <f t="shared" si="3"/>
        <v>X</v>
      </c>
      <c r="S325" s="18"/>
      <c r="T325" s="26" t="str">
        <f>IF('PL1(Full)'!$N325&gt;=20,"x",IF(AND('PL1(Full)'!$N325&gt;=15,'PL1(Full)'!$P325&gt;60),"x",""))</f>
        <v/>
      </c>
      <c r="U325" s="27" t="str">
        <f>IF(AND('PL1(Full)'!$H325="Thôn",'PL1(Full)'!$I325&lt;75),"x",IF(AND('PL1(Full)'!$H325="Tổ",'PL1(Full)'!$I325&lt;100),"x","-"))</f>
        <v>x</v>
      </c>
      <c r="V325" s="28" t="str">
        <f>IF(AND('PL1(Full)'!$H325="Thôn",'PL1(Full)'!$I325&lt;140),"x",IF(AND('PL1(Full)'!$H325="Tổ",'PL1(Full)'!$I325&lt;210),"x","-"))</f>
        <v>x</v>
      </c>
      <c r="W325" s="29" t="str">
        <f t="shared" ref="W325:W349" si="55">IF(I325&gt;=200,"Loại 1",IF(I325&gt;=150,"Loại 2","Loại 3"))</f>
        <v>Loại 3</v>
      </c>
      <c r="X325" s="25"/>
    </row>
    <row r="326" spans="1:24" ht="15.75" customHeight="1">
      <c r="A326" s="30">
        <f>_xlfn.AGGREGATE(4,7,A$6:A325)+1</f>
        <v>225</v>
      </c>
      <c r="B326" s="66" t="str">
        <f t="shared" ref="B326:C326" si="56">B325</f>
        <v>H. Chợ Đồn</v>
      </c>
      <c r="C326" s="31" t="str">
        <f t="shared" si="56"/>
        <v>TT. Bằng Lũng</v>
      </c>
      <c r="D326" s="34"/>
      <c r="E326" s="34" t="s">
        <v>36</v>
      </c>
      <c r="F326" s="31" t="s">
        <v>412</v>
      </c>
      <c r="G326" s="34"/>
      <c r="H326" s="34" t="str">
        <f>IF(LEFT('PL1(Full)'!$F326,4)="Thôn","Thôn","Tổ")</f>
        <v>Tổ</v>
      </c>
      <c r="I326" s="35">
        <v>97</v>
      </c>
      <c r="J326" s="35">
        <v>379</v>
      </c>
      <c r="K326" s="35">
        <v>75</v>
      </c>
      <c r="L326" s="37">
        <f t="shared" si="0"/>
        <v>77.319587628865975</v>
      </c>
      <c r="M326" s="35">
        <v>1</v>
      </c>
      <c r="N326" s="38">
        <f t="shared" si="1"/>
        <v>1.0309278350515463</v>
      </c>
      <c r="O326" s="36">
        <v>1</v>
      </c>
      <c r="P326" s="38">
        <f t="shared" si="2"/>
        <v>100</v>
      </c>
      <c r="Q326" s="88" t="s">
        <v>56</v>
      </c>
      <c r="R326" s="88" t="str">
        <f t="shared" si="3"/>
        <v>X</v>
      </c>
      <c r="S326" s="32"/>
      <c r="T326" s="34" t="str">
        <f>IF('PL1(Full)'!$N326&gt;=20,"x",IF(AND('PL1(Full)'!$N326&gt;=15,'PL1(Full)'!$P326&gt;60),"x",""))</f>
        <v/>
      </c>
      <c r="U326" s="34" t="str">
        <f>IF(AND('PL1(Full)'!$H326="Thôn",'PL1(Full)'!$I326&lt;75),"x",IF(AND('PL1(Full)'!$H326="Tổ",'PL1(Full)'!$I326&lt;100),"x","-"))</f>
        <v>x</v>
      </c>
      <c r="V326" s="34" t="str">
        <f>IF(AND('PL1(Full)'!$H326="Thôn",'PL1(Full)'!$I326&lt;140),"x",IF(AND('PL1(Full)'!$H326="Tổ",'PL1(Full)'!$I326&lt;210),"x","-"))</f>
        <v>x</v>
      </c>
      <c r="W326" s="40" t="str">
        <f t="shared" si="55"/>
        <v>Loại 3</v>
      </c>
      <c r="X326" s="34"/>
    </row>
    <row r="327" spans="1:24" ht="15.75" customHeight="1">
      <c r="A327" s="30">
        <f>_xlfn.AGGREGATE(4,7,A$6:A326)+1</f>
        <v>226</v>
      </c>
      <c r="B327" s="66" t="str">
        <f t="shared" ref="B327:C327" si="57">B326</f>
        <v>H. Chợ Đồn</v>
      </c>
      <c r="C327" s="31" t="str">
        <f t="shared" si="57"/>
        <v>TT. Bằng Lũng</v>
      </c>
      <c r="D327" s="34"/>
      <c r="E327" s="34" t="s">
        <v>36</v>
      </c>
      <c r="F327" s="31" t="s">
        <v>413</v>
      </c>
      <c r="G327" s="34"/>
      <c r="H327" s="34" t="str">
        <f>IF(LEFT('PL1(Full)'!$F327,4)="Thôn","Thôn","Tổ")</f>
        <v>Tổ</v>
      </c>
      <c r="I327" s="35">
        <v>54</v>
      </c>
      <c r="J327" s="35">
        <v>236</v>
      </c>
      <c r="K327" s="35">
        <v>54</v>
      </c>
      <c r="L327" s="37">
        <f t="shared" si="0"/>
        <v>100</v>
      </c>
      <c r="M327" s="35">
        <v>0</v>
      </c>
      <c r="N327" s="38">
        <f t="shared" si="1"/>
        <v>0</v>
      </c>
      <c r="O327" s="36">
        <v>0</v>
      </c>
      <c r="P327" s="38">
        <f t="shared" si="2"/>
        <v>0</v>
      </c>
      <c r="Q327" s="88" t="s">
        <v>82</v>
      </c>
      <c r="R327" s="88" t="str">
        <f t="shared" si="3"/>
        <v>X</v>
      </c>
      <c r="S327" s="32"/>
      <c r="T327" s="34"/>
      <c r="U327" s="34" t="str">
        <f>IF(AND('PL1(Full)'!$H327="Thôn",'PL1(Full)'!$I327&lt;75),"x",IF(AND('PL1(Full)'!$H327="Tổ",'PL1(Full)'!$I327&lt;100),"x","-"))</f>
        <v>x</v>
      </c>
      <c r="V327" s="34" t="str">
        <f>IF(AND('PL1(Full)'!$H327="Thôn",'PL1(Full)'!$I327&lt;140),"x",IF(AND('PL1(Full)'!$H327="Tổ",'PL1(Full)'!$I327&lt;210),"x","-"))</f>
        <v>x</v>
      </c>
      <c r="W327" s="40" t="str">
        <f t="shared" si="55"/>
        <v>Loại 3</v>
      </c>
      <c r="X327" s="34"/>
    </row>
    <row r="328" spans="1:24" ht="15.75" customHeight="1">
      <c r="A328" s="30">
        <f>_xlfn.AGGREGATE(4,7,A$6:A327)+1</f>
        <v>227</v>
      </c>
      <c r="B328" s="66" t="str">
        <f t="shared" ref="B328:C328" si="58">B327</f>
        <v>H. Chợ Đồn</v>
      </c>
      <c r="C328" s="31" t="str">
        <f t="shared" si="58"/>
        <v>TT. Bằng Lũng</v>
      </c>
      <c r="D328" s="34"/>
      <c r="E328" s="34" t="s">
        <v>36</v>
      </c>
      <c r="F328" s="31" t="s">
        <v>414</v>
      </c>
      <c r="G328" s="34"/>
      <c r="H328" s="34" t="str">
        <f>IF(LEFT('PL1(Full)'!$F328,4)="Thôn","Thôn","Tổ")</f>
        <v>Tổ</v>
      </c>
      <c r="I328" s="35">
        <v>57</v>
      </c>
      <c r="J328" s="35">
        <v>219</v>
      </c>
      <c r="K328" s="35">
        <v>55</v>
      </c>
      <c r="L328" s="37">
        <f t="shared" si="0"/>
        <v>96.491228070175438</v>
      </c>
      <c r="M328" s="35">
        <v>0</v>
      </c>
      <c r="N328" s="38">
        <f t="shared" si="1"/>
        <v>0</v>
      </c>
      <c r="O328" s="36">
        <v>0</v>
      </c>
      <c r="P328" s="38">
        <f t="shared" si="2"/>
        <v>0</v>
      </c>
      <c r="Q328" s="88" t="s">
        <v>52</v>
      </c>
      <c r="R328" s="88" t="str">
        <f t="shared" si="3"/>
        <v>C</v>
      </c>
      <c r="S328" s="32"/>
      <c r="T328" s="34"/>
      <c r="U328" s="34" t="str">
        <f>IF(AND('PL1(Full)'!$H328="Thôn",'PL1(Full)'!$I328&lt;75),"x",IF(AND('PL1(Full)'!$H328="Tổ",'PL1(Full)'!$I328&lt;100),"x","-"))</f>
        <v>x</v>
      </c>
      <c r="V328" s="34" t="str">
        <f>IF(AND('PL1(Full)'!$H328="Thôn",'PL1(Full)'!$I328&lt;140),"x",IF(AND('PL1(Full)'!$H328="Tổ",'PL1(Full)'!$I328&lt;210),"x","-"))</f>
        <v>x</v>
      </c>
      <c r="W328" s="40" t="str">
        <f t="shared" si="55"/>
        <v>Loại 3</v>
      </c>
      <c r="X328" s="34"/>
    </row>
    <row r="329" spans="1:24" ht="15.75" customHeight="1">
      <c r="A329" s="30">
        <f>_xlfn.AGGREGATE(4,7,A$6:A328)+1</f>
        <v>228</v>
      </c>
      <c r="B329" s="66" t="str">
        <f t="shared" ref="B329:C329" si="59">B328</f>
        <v>H. Chợ Đồn</v>
      </c>
      <c r="C329" s="31" t="str">
        <f t="shared" si="59"/>
        <v>TT. Bằng Lũng</v>
      </c>
      <c r="D329" s="34"/>
      <c r="E329" s="34" t="s">
        <v>36</v>
      </c>
      <c r="F329" s="31" t="s">
        <v>415</v>
      </c>
      <c r="G329" s="34"/>
      <c r="H329" s="34" t="str">
        <f>IF(LEFT('PL1(Full)'!$F329,4)="Thôn","Thôn","Tổ")</f>
        <v>Tổ</v>
      </c>
      <c r="I329" s="35">
        <v>47</v>
      </c>
      <c r="J329" s="35">
        <v>186</v>
      </c>
      <c r="K329" s="35">
        <v>24</v>
      </c>
      <c r="L329" s="37">
        <f t="shared" si="0"/>
        <v>51.063829787234042</v>
      </c>
      <c r="M329" s="35">
        <v>1</v>
      </c>
      <c r="N329" s="38">
        <f t="shared" si="1"/>
        <v>2.1276595744680851</v>
      </c>
      <c r="O329" s="36">
        <v>0</v>
      </c>
      <c r="P329" s="38">
        <f t="shared" si="2"/>
        <v>0</v>
      </c>
      <c r="Q329" s="88" t="s">
        <v>63</v>
      </c>
      <c r="R329" s="88" t="str">
        <f t="shared" si="3"/>
        <v>X</v>
      </c>
      <c r="S329" s="32"/>
      <c r="T329" s="34" t="str">
        <f>IF('PL1(Full)'!$N329&gt;=20,"x",IF(AND('PL1(Full)'!$N329&gt;=15,'PL1(Full)'!$P329&gt;60),"x",""))</f>
        <v/>
      </c>
      <c r="U329" s="34" t="str">
        <f>IF(AND('PL1(Full)'!$H329="Thôn",'PL1(Full)'!$I329&lt;75),"x",IF(AND('PL1(Full)'!$H329="Tổ",'PL1(Full)'!$I329&lt;100),"x","-"))</f>
        <v>x</v>
      </c>
      <c r="V329" s="34" t="str">
        <f>IF(AND('PL1(Full)'!$H329="Thôn",'PL1(Full)'!$I329&lt;140),"x",IF(AND('PL1(Full)'!$H329="Tổ",'PL1(Full)'!$I329&lt;210),"x","-"))</f>
        <v>x</v>
      </c>
      <c r="W329" s="40" t="str">
        <f t="shared" si="55"/>
        <v>Loại 3</v>
      </c>
      <c r="X329" s="34"/>
    </row>
    <row r="330" spans="1:24" ht="15.75" customHeight="1">
      <c r="A330" s="30">
        <f>_xlfn.AGGREGATE(4,7,A$6:A329)+1</f>
        <v>229</v>
      </c>
      <c r="B330" s="66" t="str">
        <f t="shared" ref="B330:C330" si="60">B329</f>
        <v>H. Chợ Đồn</v>
      </c>
      <c r="C330" s="31" t="str">
        <f t="shared" si="60"/>
        <v>TT. Bằng Lũng</v>
      </c>
      <c r="D330" s="34"/>
      <c r="E330" s="34" t="s">
        <v>36</v>
      </c>
      <c r="F330" s="31" t="s">
        <v>416</v>
      </c>
      <c r="G330" s="34"/>
      <c r="H330" s="34" t="str">
        <f>IF(LEFT('PL1(Full)'!$F330,4)="Thôn","Thôn","Tổ")</f>
        <v>Tổ</v>
      </c>
      <c r="I330" s="35">
        <v>89</v>
      </c>
      <c r="J330" s="35">
        <v>343</v>
      </c>
      <c r="K330" s="35">
        <v>68</v>
      </c>
      <c r="L330" s="37">
        <f t="shared" si="0"/>
        <v>76.404494382022477</v>
      </c>
      <c r="M330" s="35">
        <v>1</v>
      </c>
      <c r="N330" s="38">
        <f t="shared" si="1"/>
        <v>1.1235955056179776</v>
      </c>
      <c r="O330" s="36">
        <v>0</v>
      </c>
      <c r="P330" s="38">
        <f t="shared" si="2"/>
        <v>0</v>
      </c>
      <c r="Q330" s="88" t="s">
        <v>56</v>
      </c>
      <c r="R330" s="88" t="str">
        <f t="shared" si="3"/>
        <v>X</v>
      </c>
      <c r="S330" s="32"/>
      <c r="T330" s="34" t="str">
        <f>IF('PL1(Full)'!$N330&gt;=20,"x",IF(AND('PL1(Full)'!$N330&gt;=15,'PL1(Full)'!$P330&gt;60),"x",""))</f>
        <v/>
      </c>
      <c r="U330" s="34" t="str">
        <f>IF(AND('PL1(Full)'!$H330="Thôn",'PL1(Full)'!$I330&lt;75),"x",IF(AND('PL1(Full)'!$H330="Tổ",'PL1(Full)'!$I330&lt;100),"x","-"))</f>
        <v>x</v>
      </c>
      <c r="V330" s="34" t="str">
        <f>IF(AND('PL1(Full)'!$H330="Thôn",'PL1(Full)'!$I330&lt;140),"x",IF(AND('PL1(Full)'!$H330="Tổ",'PL1(Full)'!$I330&lt;210),"x","-"))</f>
        <v>x</v>
      </c>
      <c r="W330" s="40" t="str">
        <f t="shared" si="55"/>
        <v>Loại 3</v>
      </c>
      <c r="X330" s="34"/>
    </row>
    <row r="331" spans="1:24" ht="15.75" customHeight="1">
      <c r="A331" s="30">
        <f>_xlfn.AGGREGATE(4,7,A$6:A330)+1</f>
        <v>230</v>
      </c>
      <c r="B331" s="66" t="str">
        <f t="shared" ref="B331:C331" si="61">B330</f>
        <v>H. Chợ Đồn</v>
      </c>
      <c r="C331" s="31" t="str">
        <f t="shared" si="61"/>
        <v>TT. Bằng Lũng</v>
      </c>
      <c r="D331" s="34"/>
      <c r="E331" s="34" t="s">
        <v>36</v>
      </c>
      <c r="F331" s="31" t="s">
        <v>417</v>
      </c>
      <c r="G331" s="34"/>
      <c r="H331" s="34" t="str">
        <f>IF(LEFT('PL1(Full)'!$F331,4)="Thôn","Thôn","Tổ")</f>
        <v>Tổ</v>
      </c>
      <c r="I331" s="35">
        <v>54</v>
      </c>
      <c r="J331" s="35">
        <v>225</v>
      </c>
      <c r="K331" s="35">
        <v>44</v>
      </c>
      <c r="L331" s="37">
        <f t="shared" si="0"/>
        <v>81.481481481481481</v>
      </c>
      <c r="M331" s="35">
        <v>1</v>
      </c>
      <c r="N331" s="38">
        <f t="shared" si="1"/>
        <v>1.8518518518518519</v>
      </c>
      <c r="O331" s="36">
        <v>0</v>
      </c>
      <c r="P331" s="38">
        <f t="shared" si="2"/>
        <v>0</v>
      </c>
      <c r="Q331" s="88" t="s">
        <v>82</v>
      </c>
      <c r="R331" s="88" t="str">
        <f t="shared" si="3"/>
        <v>X</v>
      </c>
      <c r="S331" s="32"/>
      <c r="T331" s="34" t="str">
        <f>IF('PL1(Full)'!$N331&gt;=20,"x",IF(AND('PL1(Full)'!$N331&gt;=15,'PL1(Full)'!$P331&gt;60),"x",""))</f>
        <v/>
      </c>
      <c r="U331" s="34" t="str">
        <f>IF(AND('PL1(Full)'!$H331="Thôn",'PL1(Full)'!$I331&lt;75),"x",IF(AND('PL1(Full)'!$H331="Tổ",'PL1(Full)'!$I331&lt;100),"x","-"))</f>
        <v>x</v>
      </c>
      <c r="V331" s="34" t="str">
        <f>IF(AND('PL1(Full)'!$H331="Thôn",'PL1(Full)'!$I331&lt;140),"x",IF(AND('PL1(Full)'!$H331="Tổ",'PL1(Full)'!$I331&lt;210),"x","-"))</f>
        <v>x</v>
      </c>
      <c r="W331" s="40" t="str">
        <f t="shared" si="55"/>
        <v>Loại 3</v>
      </c>
      <c r="X331" s="34"/>
    </row>
    <row r="332" spans="1:24" ht="15.75" customHeight="1">
      <c r="A332" s="30">
        <f>_xlfn.AGGREGATE(4,7,A$6:A331)+1</f>
        <v>231</v>
      </c>
      <c r="B332" s="66" t="str">
        <f t="shared" ref="B332:C332" si="62">B331</f>
        <v>H. Chợ Đồn</v>
      </c>
      <c r="C332" s="31" t="str">
        <f t="shared" si="62"/>
        <v>TT. Bằng Lũng</v>
      </c>
      <c r="D332" s="34"/>
      <c r="E332" s="34" t="s">
        <v>36</v>
      </c>
      <c r="F332" s="31" t="s">
        <v>418</v>
      </c>
      <c r="G332" s="34"/>
      <c r="H332" s="34" t="str">
        <f>IF(LEFT('PL1(Full)'!$F332,4)="Thôn","Thôn","Tổ")</f>
        <v>Tổ</v>
      </c>
      <c r="I332" s="35">
        <v>53</v>
      </c>
      <c r="J332" s="35">
        <v>205</v>
      </c>
      <c r="K332" s="35">
        <v>33</v>
      </c>
      <c r="L332" s="37">
        <f t="shared" si="0"/>
        <v>62.264150943396224</v>
      </c>
      <c r="M332" s="35">
        <v>0</v>
      </c>
      <c r="N332" s="38">
        <f t="shared" si="1"/>
        <v>0</v>
      </c>
      <c r="O332" s="36">
        <v>0</v>
      </c>
      <c r="P332" s="38">
        <f t="shared" si="2"/>
        <v>0</v>
      </c>
      <c r="Q332" s="88" t="s">
        <v>82</v>
      </c>
      <c r="R332" s="88" t="str">
        <f t="shared" si="3"/>
        <v>X</v>
      </c>
      <c r="S332" s="32"/>
      <c r="T332" s="34"/>
      <c r="U332" s="34" t="str">
        <f>IF(AND('PL1(Full)'!$H332="Thôn",'PL1(Full)'!$I332&lt;75),"x",IF(AND('PL1(Full)'!$H332="Tổ",'PL1(Full)'!$I332&lt;100),"x","-"))</f>
        <v>x</v>
      </c>
      <c r="V332" s="34" t="str">
        <f>IF(AND('PL1(Full)'!$H332="Thôn",'PL1(Full)'!$I332&lt;140),"x",IF(AND('PL1(Full)'!$H332="Tổ",'PL1(Full)'!$I332&lt;210),"x","-"))</f>
        <v>x</v>
      </c>
      <c r="W332" s="40" t="str">
        <f t="shared" si="55"/>
        <v>Loại 3</v>
      </c>
      <c r="X332" s="34"/>
    </row>
    <row r="333" spans="1:24" ht="15.75" customHeight="1">
      <c r="A333" s="30">
        <f>_xlfn.AGGREGATE(4,7,A$6:A332)+1</f>
        <v>232</v>
      </c>
      <c r="B333" s="66" t="str">
        <f t="shared" ref="B333:C333" si="63">B332</f>
        <v>H. Chợ Đồn</v>
      </c>
      <c r="C333" s="31" t="str">
        <f t="shared" si="63"/>
        <v>TT. Bằng Lũng</v>
      </c>
      <c r="D333" s="34"/>
      <c r="E333" s="34" t="s">
        <v>36</v>
      </c>
      <c r="F333" s="31" t="s">
        <v>419</v>
      </c>
      <c r="G333" s="34"/>
      <c r="H333" s="34" t="str">
        <f>IF(LEFT('PL1(Full)'!$F333,4)="Thôn","Thôn","Tổ")</f>
        <v>Tổ</v>
      </c>
      <c r="I333" s="35">
        <v>73</v>
      </c>
      <c r="J333" s="35">
        <v>330</v>
      </c>
      <c r="K333" s="35">
        <v>50</v>
      </c>
      <c r="L333" s="37">
        <f t="shared" si="0"/>
        <v>68.493150684931507</v>
      </c>
      <c r="M333" s="35">
        <v>1</v>
      </c>
      <c r="N333" s="38">
        <f t="shared" si="1"/>
        <v>1.3698630136986301</v>
      </c>
      <c r="O333" s="36">
        <v>1</v>
      </c>
      <c r="P333" s="38">
        <f t="shared" si="2"/>
        <v>100</v>
      </c>
      <c r="Q333" s="88" t="s">
        <v>52</v>
      </c>
      <c r="R333" s="88" t="str">
        <f t="shared" si="3"/>
        <v>C</v>
      </c>
      <c r="S333" s="32"/>
      <c r="T333" s="34" t="str">
        <f>IF('PL1(Full)'!$N333&gt;=20,"x",IF(AND('PL1(Full)'!$N333&gt;=15,'PL1(Full)'!$P333&gt;60),"x",""))</f>
        <v/>
      </c>
      <c r="U333" s="34" t="str">
        <f>IF(AND('PL1(Full)'!$H333="Thôn",'PL1(Full)'!$I333&lt;75),"x",IF(AND('PL1(Full)'!$H333="Tổ",'PL1(Full)'!$I333&lt;100),"x","-"))</f>
        <v>x</v>
      </c>
      <c r="V333" s="34" t="str">
        <f>IF(AND('PL1(Full)'!$H333="Thôn",'PL1(Full)'!$I333&lt;140),"x",IF(AND('PL1(Full)'!$H333="Tổ",'PL1(Full)'!$I333&lt;210),"x","-"))</f>
        <v>x</v>
      </c>
      <c r="W333" s="40" t="str">
        <f t="shared" si="55"/>
        <v>Loại 3</v>
      </c>
      <c r="X333" s="34"/>
    </row>
    <row r="334" spans="1:24" ht="15.75" customHeight="1">
      <c r="A334" s="30">
        <f>_xlfn.AGGREGATE(4,7,A$6:A333)+1</f>
        <v>233</v>
      </c>
      <c r="B334" s="66" t="str">
        <f t="shared" ref="B334:C334" si="64">B333</f>
        <v>H. Chợ Đồn</v>
      </c>
      <c r="C334" s="31" t="str">
        <f t="shared" si="64"/>
        <v>TT. Bằng Lũng</v>
      </c>
      <c r="D334" s="34"/>
      <c r="E334" s="34" t="s">
        <v>36</v>
      </c>
      <c r="F334" s="31" t="s">
        <v>420</v>
      </c>
      <c r="G334" s="34"/>
      <c r="H334" s="34" t="str">
        <f>IF(LEFT('PL1(Full)'!$F334,4)="Thôn","Thôn","Tổ")</f>
        <v>Tổ</v>
      </c>
      <c r="I334" s="35">
        <v>90</v>
      </c>
      <c r="J334" s="35">
        <v>320</v>
      </c>
      <c r="K334" s="35">
        <v>80</v>
      </c>
      <c r="L334" s="37">
        <f t="shared" si="0"/>
        <v>88.888888888888886</v>
      </c>
      <c r="M334" s="35">
        <v>9</v>
      </c>
      <c r="N334" s="38">
        <f t="shared" si="1"/>
        <v>10</v>
      </c>
      <c r="O334" s="36">
        <v>2</v>
      </c>
      <c r="P334" s="38">
        <f t="shared" si="2"/>
        <v>22.222222222222221</v>
      </c>
      <c r="Q334" s="88" t="s">
        <v>49</v>
      </c>
      <c r="R334" s="88" t="str">
        <f t="shared" si="3"/>
        <v>X</v>
      </c>
      <c r="S334" s="32"/>
      <c r="T334" s="34" t="str">
        <f>IF('PL1(Full)'!$N334&gt;=20,"x",IF(AND('PL1(Full)'!$N334&gt;=15,'PL1(Full)'!$P334&gt;60),"x",""))</f>
        <v/>
      </c>
      <c r="U334" s="34" t="str">
        <f>IF(AND('PL1(Full)'!$H334="Thôn",'PL1(Full)'!$I334&lt;75),"x",IF(AND('PL1(Full)'!$H334="Tổ",'PL1(Full)'!$I334&lt;100),"x","-"))</f>
        <v>x</v>
      </c>
      <c r="V334" s="34" t="str">
        <f>IF(AND('PL1(Full)'!$H334="Thôn",'PL1(Full)'!$I334&lt;140),"x",IF(AND('PL1(Full)'!$H334="Tổ",'PL1(Full)'!$I334&lt;210),"x","-"))</f>
        <v>x</v>
      </c>
      <c r="W334" s="40" t="str">
        <f t="shared" si="55"/>
        <v>Loại 3</v>
      </c>
      <c r="X334" s="34"/>
    </row>
    <row r="335" spans="1:24" ht="15.75" customHeight="1">
      <c r="A335" s="30">
        <f>_xlfn.AGGREGATE(4,7,A$6:A334)+1</f>
        <v>234</v>
      </c>
      <c r="B335" s="66" t="str">
        <f t="shared" ref="B335:C335" si="65">B334</f>
        <v>H. Chợ Đồn</v>
      </c>
      <c r="C335" s="31" t="str">
        <f t="shared" si="65"/>
        <v>TT. Bằng Lũng</v>
      </c>
      <c r="D335" s="34"/>
      <c r="E335" s="34" t="s">
        <v>36</v>
      </c>
      <c r="F335" s="31" t="s">
        <v>421</v>
      </c>
      <c r="G335" s="34"/>
      <c r="H335" s="34" t="str">
        <f>IF(LEFT('PL1(Full)'!$F335,4)="Thôn","Thôn","Tổ")</f>
        <v>Tổ</v>
      </c>
      <c r="I335" s="35">
        <v>85</v>
      </c>
      <c r="J335" s="35">
        <v>335</v>
      </c>
      <c r="K335" s="35">
        <v>51</v>
      </c>
      <c r="L335" s="37">
        <f t="shared" si="0"/>
        <v>60</v>
      </c>
      <c r="M335" s="35">
        <v>2</v>
      </c>
      <c r="N335" s="38">
        <f t="shared" si="1"/>
        <v>2.3529411764705883</v>
      </c>
      <c r="O335" s="36">
        <v>0</v>
      </c>
      <c r="P335" s="38">
        <f t="shared" si="2"/>
        <v>0</v>
      </c>
      <c r="Q335" s="88" t="s">
        <v>56</v>
      </c>
      <c r="R335" s="88" t="str">
        <f t="shared" si="3"/>
        <v>X</v>
      </c>
      <c r="S335" s="32"/>
      <c r="T335" s="34" t="str">
        <f>IF('PL1(Full)'!$N335&gt;=20,"x",IF(AND('PL1(Full)'!$N335&gt;=15,'PL1(Full)'!$P335&gt;60),"x",""))</f>
        <v/>
      </c>
      <c r="U335" s="34" t="str">
        <f>IF(AND('PL1(Full)'!$H335="Thôn",'PL1(Full)'!$I335&lt;75),"x",IF(AND('PL1(Full)'!$H335="Tổ",'PL1(Full)'!$I335&lt;100),"x","-"))</f>
        <v>x</v>
      </c>
      <c r="V335" s="34" t="str">
        <f>IF(AND('PL1(Full)'!$H335="Thôn",'PL1(Full)'!$I335&lt;140),"x",IF(AND('PL1(Full)'!$H335="Tổ",'PL1(Full)'!$I335&lt;210),"x","-"))</f>
        <v>x</v>
      </c>
      <c r="W335" s="40" t="str">
        <f t="shared" si="55"/>
        <v>Loại 3</v>
      </c>
      <c r="X335" s="34"/>
    </row>
    <row r="336" spans="1:24" ht="15.75" customHeight="1">
      <c r="A336" s="30">
        <f>_xlfn.AGGREGATE(4,7,A$6:A335)+1</f>
        <v>235</v>
      </c>
      <c r="B336" s="66" t="str">
        <f t="shared" ref="B336:C336" si="66">B335</f>
        <v>H. Chợ Đồn</v>
      </c>
      <c r="C336" s="31" t="str">
        <f t="shared" si="66"/>
        <v>TT. Bằng Lũng</v>
      </c>
      <c r="D336" s="34"/>
      <c r="E336" s="34" t="s">
        <v>36</v>
      </c>
      <c r="F336" s="31" t="s">
        <v>422</v>
      </c>
      <c r="G336" s="34"/>
      <c r="H336" s="34" t="str">
        <f>IF(LEFT('PL1(Full)'!$F336,4)="Thôn","Thôn","Tổ")</f>
        <v>Tổ</v>
      </c>
      <c r="I336" s="35">
        <v>90</v>
      </c>
      <c r="J336" s="35">
        <v>377</v>
      </c>
      <c r="K336" s="35">
        <v>79</v>
      </c>
      <c r="L336" s="37">
        <f t="shared" si="0"/>
        <v>87.777777777777771</v>
      </c>
      <c r="M336" s="35">
        <v>4</v>
      </c>
      <c r="N336" s="38">
        <f t="shared" si="1"/>
        <v>4.4444444444444446</v>
      </c>
      <c r="O336" s="36">
        <v>4</v>
      </c>
      <c r="P336" s="38">
        <f t="shared" si="2"/>
        <v>100</v>
      </c>
      <c r="Q336" s="88" t="s">
        <v>56</v>
      </c>
      <c r="R336" s="88" t="str">
        <f t="shared" si="3"/>
        <v>X</v>
      </c>
      <c r="S336" s="32"/>
      <c r="T336" s="34" t="str">
        <f>IF('PL1(Full)'!$N336&gt;=20,"x",IF(AND('PL1(Full)'!$N336&gt;=15,'PL1(Full)'!$P336&gt;60),"x",""))</f>
        <v/>
      </c>
      <c r="U336" s="34" t="str">
        <f>IF(AND('PL1(Full)'!$H336="Thôn",'PL1(Full)'!$I336&lt;75),"x",IF(AND('PL1(Full)'!$H336="Tổ",'PL1(Full)'!$I336&lt;100),"x","-"))</f>
        <v>x</v>
      </c>
      <c r="V336" s="34" t="str">
        <f>IF(AND('PL1(Full)'!$H336="Thôn",'PL1(Full)'!$I336&lt;140),"x",IF(AND('PL1(Full)'!$H336="Tổ",'PL1(Full)'!$I336&lt;210),"x","-"))</f>
        <v>x</v>
      </c>
      <c r="W336" s="40" t="str">
        <f t="shared" si="55"/>
        <v>Loại 3</v>
      </c>
      <c r="X336" s="34"/>
    </row>
    <row r="337" spans="1:24" ht="15.75" hidden="1" customHeight="1">
      <c r="A337" s="30">
        <f>_xlfn.AGGREGATE(4,7,A$6:A336)+1</f>
        <v>236</v>
      </c>
      <c r="B337" s="66" t="str">
        <f t="shared" ref="B337:C337" si="67">B336</f>
        <v>H. Chợ Đồn</v>
      </c>
      <c r="C337" s="31" t="str">
        <f t="shared" si="67"/>
        <v>TT. Bằng Lũng</v>
      </c>
      <c r="D337" s="34"/>
      <c r="E337" s="34" t="s">
        <v>36</v>
      </c>
      <c r="F337" s="31" t="s">
        <v>423</v>
      </c>
      <c r="G337" s="34"/>
      <c r="H337" s="34" t="str">
        <f>IF(LEFT('PL1(Full)'!$F337,4)="Thôn","Thôn","Tổ")</f>
        <v>Tổ</v>
      </c>
      <c r="I337" s="35">
        <v>101</v>
      </c>
      <c r="J337" s="35">
        <v>371</v>
      </c>
      <c r="K337" s="35">
        <v>67</v>
      </c>
      <c r="L337" s="37">
        <f t="shared" si="0"/>
        <v>66.336633663366342</v>
      </c>
      <c r="M337" s="35">
        <v>2</v>
      </c>
      <c r="N337" s="38">
        <f t="shared" si="1"/>
        <v>1.9801980198019802</v>
      </c>
      <c r="O337" s="36">
        <v>2</v>
      </c>
      <c r="P337" s="38">
        <f t="shared" si="2"/>
        <v>100</v>
      </c>
      <c r="Q337" s="88" t="s">
        <v>56</v>
      </c>
      <c r="R337" s="88" t="str">
        <f t="shared" si="3"/>
        <v>X</v>
      </c>
      <c r="S337" s="32"/>
      <c r="T337" s="34" t="str">
        <f>IF('PL1(Full)'!$N337&gt;=20,"x",IF(AND('PL1(Full)'!$N337&gt;=15,'PL1(Full)'!$P337&gt;60),"x",""))</f>
        <v/>
      </c>
      <c r="U337" s="34" t="str">
        <f>IF(AND('PL1(Full)'!$H337="Thôn",'PL1(Full)'!$I337&lt;75),"x",IF(AND('PL1(Full)'!$H337="Tổ",'PL1(Full)'!$I337&lt;100),"x","-"))</f>
        <v>-</v>
      </c>
      <c r="V337" s="34" t="str">
        <f>IF(AND('PL1(Full)'!$H337="Thôn",'PL1(Full)'!$I337&lt;140),"x",IF(AND('PL1(Full)'!$H337="Tổ",'PL1(Full)'!$I337&lt;210),"x","-"))</f>
        <v>x</v>
      </c>
      <c r="W337" s="40" t="str">
        <f t="shared" si="55"/>
        <v>Loại 3</v>
      </c>
      <c r="X337" s="34"/>
    </row>
    <row r="338" spans="1:24" ht="15.75" customHeight="1">
      <c r="A338" s="30">
        <f>_xlfn.AGGREGATE(4,7,A$6:A337)+1</f>
        <v>236</v>
      </c>
      <c r="B338" s="66" t="str">
        <f t="shared" ref="B338:C338" si="68">B337</f>
        <v>H. Chợ Đồn</v>
      </c>
      <c r="C338" s="31" t="str">
        <f t="shared" si="68"/>
        <v>TT. Bằng Lũng</v>
      </c>
      <c r="D338" s="34"/>
      <c r="E338" s="34" t="s">
        <v>36</v>
      </c>
      <c r="F338" s="31" t="s">
        <v>424</v>
      </c>
      <c r="G338" s="34"/>
      <c r="H338" s="34" t="str">
        <f>IF(LEFT('PL1(Full)'!$F338,4)="Thôn","Thôn","Tổ")</f>
        <v>Tổ</v>
      </c>
      <c r="I338" s="35">
        <v>53</v>
      </c>
      <c r="J338" s="35">
        <v>200</v>
      </c>
      <c r="K338" s="35">
        <v>13</v>
      </c>
      <c r="L338" s="37">
        <f t="shared" si="0"/>
        <v>24.528301886792452</v>
      </c>
      <c r="M338" s="35">
        <v>0</v>
      </c>
      <c r="N338" s="38">
        <f t="shared" si="1"/>
        <v>0</v>
      </c>
      <c r="O338" s="36">
        <v>0</v>
      </c>
      <c r="P338" s="38">
        <f t="shared" si="2"/>
        <v>0</v>
      </c>
      <c r="Q338" s="88" t="s">
        <v>63</v>
      </c>
      <c r="R338" s="88" t="str">
        <f t="shared" si="3"/>
        <v>X</v>
      </c>
      <c r="S338" s="32"/>
      <c r="T338" s="34"/>
      <c r="U338" s="34" t="str">
        <f>IF(AND('PL1(Full)'!$H338="Thôn",'PL1(Full)'!$I338&lt;75),"x",IF(AND('PL1(Full)'!$H338="Tổ",'PL1(Full)'!$I338&lt;100),"x","-"))</f>
        <v>x</v>
      </c>
      <c r="V338" s="34" t="str">
        <f>IF(AND('PL1(Full)'!$H338="Thôn",'PL1(Full)'!$I338&lt;140),"x",IF(AND('PL1(Full)'!$H338="Tổ",'PL1(Full)'!$I338&lt;210),"x","-"))</f>
        <v>x</v>
      </c>
      <c r="W338" s="40" t="str">
        <f t="shared" si="55"/>
        <v>Loại 3</v>
      </c>
      <c r="X338" s="34"/>
    </row>
    <row r="339" spans="1:24" ht="15.75" hidden="1" customHeight="1">
      <c r="A339" s="30">
        <f>_xlfn.AGGREGATE(4,7,A$6:A338)+1</f>
        <v>237</v>
      </c>
      <c r="B339" s="66" t="str">
        <f t="shared" ref="B339:C339" si="69">B338</f>
        <v>H. Chợ Đồn</v>
      </c>
      <c r="C339" s="31" t="str">
        <f t="shared" si="69"/>
        <v>TT. Bằng Lũng</v>
      </c>
      <c r="D339" s="34"/>
      <c r="E339" s="34" t="s">
        <v>36</v>
      </c>
      <c r="F339" s="31" t="s">
        <v>425</v>
      </c>
      <c r="G339" s="34"/>
      <c r="H339" s="34" t="str">
        <f>IF(LEFT('PL1(Full)'!$F339,4)="Thôn","Thôn","Tổ")</f>
        <v>Tổ</v>
      </c>
      <c r="I339" s="35">
        <v>123</v>
      </c>
      <c r="J339" s="35">
        <v>446</v>
      </c>
      <c r="K339" s="35">
        <v>91</v>
      </c>
      <c r="L339" s="37">
        <f t="shared" si="0"/>
        <v>73.983739837398375</v>
      </c>
      <c r="M339" s="35">
        <v>3</v>
      </c>
      <c r="N339" s="38">
        <f t="shared" si="1"/>
        <v>2.4390243902439024</v>
      </c>
      <c r="O339" s="36">
        <v>1</v>
      </c>
      <c r="P339" s="38">
        <f t="shared" si="2"/>
        <v>33.333333333333336</v>
      </c>
      <c r="Q339" s="88" t="s">
        <v>49</v>
      </c>
      <c r="R339" s="88" t="str">
        <f t="shared" si="3"/>
        <v>X</v>
      </c>
      <c r="S339" s="32"/>
      <c r="T339" s="34" t="str">
        <f>IF('PL1(Full)'!$N339&gt;=20,"x",IF(AND('PL1(Full)'!$N339&gt;=15,'PL1(Full)'!$P339&gt;60),"x",""))</f>
        <v/>
      </c>
      <c r="U339" s="34" t="str">
        <f>IF(AND('PL1(Full)'!$H339="Thôn",'PL1(Full)'!$I339&lt;75),"x",IF(AND('PL1(Full)'!$H339="Tổ",'PL1(Full)'!$I339&lt;100),"x","-"))</f>
        <v>-</v>
      </c>
      <c r="V339" s="34" t="str">
        <f>IF(AND('PL1(Full)'!$H339="Thôn",'PL1(Full)'!$I339&lt;140),"x",IF(AND('PL1(Full)'!$H339="Tổ",'PL1(Full)'!$I339&lt;210),"x","-"))</f>
        <v>x</v>
      </c>
      <c r="W339" s="40" t="str">
        <f t="shared" si="55"/>
        <v>Loại 3</v>
      </c>
      <c r="X339" s="34"/>
    </row>
    <row r="340" spans="1:24" ht="15.75" customHeight="1">
      <c r="A340" s="30">
        <f>_xlfn.AGGREGATE(4,7,A$6:A339)+1</f>
        <v>237</v>
      </c>
      <c r="B340" s="66" t="str">
        <f t="shared" ref="B340:C340" si="70">B339</f>
        <v>H. Chợ Đồn</v>
      </c>
      <c r="C340" s="31" t="str">
        <f t="shared" si="70"/>
        <v>TT. Bằng Lũng</v>
      </c>
      <c r="D340" s="34"/>
      <c r="E340" s="34" t="s">
        <v>36</v>
      </c>
      <c r="F340" s="31" t="s">
        <v>426</v>
      </c>
      <c r="G340" s="34"/>
      <c r="H340" s="34" t="str">
        <f>IF(LEFT('PL1(Full)'!$F340,4)="Thôn","Thôn","Tổ")</f>
        <v>Tổ</v>
      </c>
      <c r="I340" s="35">
        <v>61</v>
      </c>
      <c r="J340" s="35">
        <v>278</v>
      </c>
      <c r="K340" s="35">
        <v>33</v>
      </c>
      <c r="L340" s="37">
        <f t="shared" si="0"/>
        <v>54.098360655737707</v>
      </c>
      <c r="M340" s="35">
        <v>1</v>
      </c>
      <c r="N340" s="38">
        <f t="shared" si="1"/>
        <v>1.639344262295082</v>
      </c>
      <c r="O340" s="36">
        <v>0</v>
      </c>
      <c r="P340" s="38">
        <f t="shared" si="2"/>
        <v>0</v>
      </c>
      <c r="Q340" s="88" t="s">
        <v>52</v>
      </c>
      <c r="R340" s="88" t="str">
        <f t="shared" si="3"/>
        <v>C</v>
      </c>
      <c r="S340" s="32"/>
      <c r="T340" s="34" t="str">
        <f>IF('PL1(Full)'!$N340&gt;=20,"x",IF(AND('PL1(Full)'!$N340&gt;=15,'PL1(Full)'!$P340&gt;60),"x",""))</f>
        <v/>
      </c>
      <c r="U340" s="34" t="str">
        <f>IF(AND('PL1(Full)'!$H340="Thôn",'PL1(Full)'!$I340&lt;75),"x",IF(AND('PL1(Full)'!$H340="Tổ",'PL1(Full)'!$I340&lt;100),"x","-"))</f>
        <v>x</v>
      </c>
      <c r="V340" s="34" t="str">
        <f>IF(AND('PL1(Full)'!$H340="Thôn",'PL1(Full)'!$I340&lt;140),"x",IF(AND('PL1(Full)'!$H340="Tổ",'PL1(Full)'!$I340&lt;210),"x","-"))</f>
        <v>x</v>
      </c>
      <c r="W340" s="40" t="str">
        <f t="shared" si="55"/>
        <v>Loại 3</v>
      </c>
      <c r="X340" s="34"/>
    </row>
    <row r="341" spans="1:24" ht="15.75" customHeight="1">
      <c r="A341" s="30">
        <f>_xlfn.AGGREGATE(4,7,A$6:A340)+1</f>
        <v>238</v>
      </c>
      <c r="B341" s="66" t="str">
        <f t="shared" ref="B341:C341" si="71">B340</f>
        <v>H. Chợ Đồn</v>
      </c>
      <c r="C341" s="31" t="str">
        <f t="shared" si="71"/>
        <v>TT. Bằng Lũng</v>
      </c>
      <c r="D341" s="34"/>
      <c r="E341" s="34" t="s">
        <v>36</v>
      </c>
      <c r="F341" s="31" t="s">
        <v>427</v>
      </c>
      <c r="G341" s="34"/>
      <c r="H341" s="34" t="str">
        <f>IF(LEFT('PL1(Full)'!$F341,4)="Thôn","Thôn","Tổ")</f>
        <v>Tổ</v>
      </c>
      <c r="I341" s="35">
        <v>36</v>
      </c>
      <c r="J341" s="35">
        <v>141</v>
      </c>
      <c r="K341" s="35">
        <v>32</v>
      </c>
      <c r="L341" s="37">
        <f t="shared" si="0"/>
        <v>88.888888888888886</v>
      </c>
      <c r="M341" s="35">
        <v>1</v>
      </c>
      <c r="N341" s="38">
        <f t="shared" si="1"/>
        <v>2.7777777777777777</v>
      </c>
      <c r="O341" s="36">
        <v>0</v>
      </c>
      <c r="P341" s="38">
        <f t="shared" si="2"/>
        <v>0</v>
      </c>
      <c r="Q341" s="88" t="s">
        <v>63</v>
      </c>
      <c r="R341" s="88" t="str">
        <f t="shared" si="3"/>
        <v>X</v>
      </c>
      <c r="S341" s="32"/>
      <c r="T341" s="34" t="str">
        <f>IF('PL1(Full)'!$N341&gt;=20,"x",IF(AND('PL1(Full)'!$N341&gt;=15,'PL1(Full)'!$P341&gt;60),"x",""))</f>
        <v/>
      </c>
      <c r="U341" s="34" t="str">
        <f>IF(AND('PL1(Full)'!$H341="Thôn",'PL1(Full)'!$I341&lt;75),"x",IF(AND('PL1(Full)'!$H341="Tổ",'PL1(Full)'!$I341&lt;100),"x","-"))</f>
        <v>x</v>
      </c>
      <c r="V341" s="34" t="str">
        <f>IF(AND('PL1(Full)'!$H341="Thôn",'PL1(Full)'!$I341&lt;140),"x",IF(AND('PL1(Full)'!$H341="Tổ",'PL1(Full)'!$I341&lt;210),"x","-"))</f>
        <v>x</v>
      </c>
      <c r="W341" s="40" t="str">
        <f t="shared" si="55"/>
        <v>Loại 3</v>
      </c>
      <c r="X341" s="34"/>
    </row>
    <row r="342" spans="1:24" ht="15.75" customHeight="1">
      <c r="A342" s="30">
        <f>_xlfn.AGGREGATE(4,7,A$6:A341)+1</f>
        <v>239</v>
      </c>
      <c r="B342" s="66" t="str">
        <f t="shared" ref="B342:C342" si="72">B341</f>
        <v>H. Chợ Đồn</v>
      </c>
      <c r="C342" s="31" t="str">
        <f t="shared" si="72"/>
        <v>TT. Bằng Lũng</v>
      </c>
      <c r="D342" s="34"/>
      <c r="E342" s="34" t="s">
        <v>36</v>
      </c>
      <c r="F342" s="31" t="s">
        <v>428</v>
      </c>
      <c r="G342" s="34"/>
      <c r="H342" s="34" t="str">
        <f>IF(LEFT('PL1(Full)'!$F342,4)="Thôn","Thôn","Tổ")</f>
        <v>Tổ</v>
      </c>
      <c r="I342" s="35">
        <v>67</v>
      </c>
      <c r="J342" s="35">
        <v>269</v>
      </c>
      <c r="K342" s="35">
        <v>41</v>
      </c>
      <c r="L342" s="37">
        <f t="shared" si="0"/>
        <v>61.194029850746269</v>
      </c>
      <c r="M342" s="35">
        <v>2</v>
      </c>
      <c r="N342" s="38">
        <f t="shared" si="1"/>
        <v>2.9850746268656718</v>
      </c>
      <c r="O342" s="36">
        <v>0</v>
      </c>
      <c r="P342" s="38">
        <f t="shared" si="2"/>
        <v>0</v>
      </c>
      <c r="Q342" s="88" t="s">
        <v>82</v>
      </c>
      <c r="R342" s="88" t="str">
        <f t="shared" si="3"/>
        <v>X</v>
      </c>
      <c r="S342" s="32"/>
      <c r="T342" s="34" t="str">
        <f>IF('PL1(Full)'!$N342&gt;=20,"x",IF(AND('PL1(Full)'!$N342&gt;=15,'PL1(Full)'!$P342&gt;60),"x",""))</f>
        <v/>
      </c>
      <c r="U342" s="34" t="str">
        <f>IF(AND('PL1(Full)'!$H342="Thôn",'PL1(Full)'!$I342&lt;75),"x",IF(AND('PL1(Full)'!$H342="Tổ",'PL1(Full)'!$I342&lt;100),"x","-"))</f>
        <v>x</v>
      </c>
      <c r="V342" s="34" t="str">
        <f>IF(AND('PL1(Full)'!$H342="Thôn",'PL1(Full)'!$I342&lt;140),"x",IF(AND('PL1(Full)'!$H342="Tổ",'PL1(Full)'!$I342&lt;210),"x","-"))</f>
        <v>x</v>
      </c>
      <c r="W342" s="40" t="str">
        <f t="shared" si="55"/>
        <v>Loại 3</v>
      </c>
      <c r="X342" s="34"/>
    </row>
    <row r="343" spans="1:24" ht="15.75" customHeight="1">
      <c r="A343" s="30">
        <f>_xlfn.AGGREGATE(4,7,A$6:A342)+1</f>
        <v>240</v>
      </c>
      <c r="B343" s="66" t="str">
        <f t="shared" ref="B343:C343" si="73">B342</f>
        <v>H. Chợ Đồn</v>
      </c>
      <c r="C343" s="31" t="str">
        <f t="shared" si="73"/>
        <v>TT. Bằng Lũng</v>
      </c>
      <c r="D343" s="34"/>
      <c r="E343" s="34" t="s">
        <v>36</v>
      </c>
      <c r="F343" s="31" t="s">
        <v>429</v>
      </c>
      <c r="G343" s="34"/>
      <c r="H343" s="34" t="str">
        <f>IF(LEFT('PL1(Full)'!$F343,4)="Thôn","Thôn","Tổ")</f>
        <v>Tổ</v>
      </c>
      <c r="I343" s="36">
        <v>47</v>
      </c>
      <c r="J343" s="35">
        <v>168</v>
      </c>
      <c r="K343" s="35">
        <v>34</v>
      </c>
      <c r="L343" s="37">
        <f t="shared" si="0"/>
        <v>72.340425531914889</v>
      </c>
      <c r="M343" s="35">
        <v>0</v>
      </c>
      <c r="N343" s="38">
        <f t="shared" si="1"/>
        <v>0</v>
      </c>
      <c r="O343" s="36">
        <v>0</v>
      </c>
      <c r="P343" s="38">
        <f t="shared" si="2"/>
        <v>0</v>
      </c>
      <c r="Q343" s="88" t="s">
        <v>63</v>
      </c>
      <c r="R343" s="88" t="str">
        <f t="shared" si="3"/>
        <v>X</v>
      </c>
      <c r="S343" s="32"/>
      <c r="T343" s="34"/>
      <c r="U343" s="34" t="str">
        <f>IF(AND('PL1(Full)'!$H343="Thôn",'PL1(Full)'!$I343&lt;75),"x",IF(AND('PL1(Full)'!$H343="Tổ",'PL1(Full)'!$I343&lt;100),"x","-"))</f>
        <v>x</v>
      </c>
      <c r="V343" s="34" t="str">
        <f>IF(AND('PL1(Full)'!$H343="Thôn",'PL1(Full)'!$I343&lt;140),"x",IF(AND('PL1(Full)'!$H343="Tổ",'PL1(Full)'!$I343&lt;210),"x","-"))</f>
        <v>x</v>
      </c>
      <c r="W343" s="40" t="str">
        <f t="shared" si="55"/>
        <v>Loại 3</v>
      </c>
      <c r="X343" s="34"/>
    </row>
    <row r="344" spans="1:24" ht="15.75" hidden="1" customHeight="1">
      <c r="A344" s="30">
        <f>_xlfn.AGGREGATE(4,7,A$6:A343)+1</f>
        <v>241</v>
      </c>
      <c r="B344" s="66" t="str">
        <f t="shared" ref="B344:C344" si="74">B343</f>
        <v>H. Chợ Đồn</v>
      </c>
      <c r="C344" s="31" t="str">
        <f t="shared" si="74"/>
        <v>TT. Bằng Lũng</v>
      </c>
      <c r="D344" s="34"/>
      <c r="E344" s="34" t="s">
        <v>36</v>
      </c>
      <c r="F344" s="31" t="s">
        <v>430</v>
      </c>
      <c r="G344" s="34"/>
      <c r="H344" s="34" t="str">
        <f>IF(LEFT('PL1(Full)'!$F344,4)="Thôn","Thôn","Tổ")</f>
        <v>Tổ</v>
      </c>
      <c r="I344" s="35">
        <v>100</v>
      </c>
      <c r="J344" s="35">
        <v>356</v>
      </c>
      <c r="K344" s="35">
        <v>34</v>
      </c>
      <c r="L344" s="37">
        <f t="shared" si="0"/>
        <v>34</v>
      </c>
      <c r="M344" s="35">
        <v>9</v>
      </c>
      <c r="N344" s="38">
        <f t="shared" si="1"/>
        <v>9</v>
      </c>
      <c r="O344" s="36">
        <v>2</v>
      </c>
      <c r="P344" s="38">
        <f t="shared" si="2"/>
        <v>22.222222222222221</v>
      </c>
      <c r="Q344" s="88" t="s">
        <v>52</v>
      </c>
      <c r="R344" s="88" t="str">
        <f t="shared" si="3"/>
        <v>C</v>
      </c>
      <c r="S344" s="32"/>
      <c r="T344" s="34" t="str">
        <f>IF('PL1(Full)'!$N344&gt;=20,"x",IF(AND('PL1(Full)'!$N344&gt;=15,'PL1(Full)'!$P344&gt;60),"x",""))</f>
        <v/>
      </c>
      <c r="U344" s="34" t="str">
        <f>IF(AND('PL1(Full)'!$H344="Thôn",'PL1(Full)'!$I344&lt;75),"x",IF(AND('PL1(Full)'!$H344="Tổ",'PL1(Full)'!$I344&lt;100),"x","-"))</f>
        <v>-</v>
      </c>
      <c r="V344" s="34" t="str">
        <f>IF(AND('PL1(Full)'!$H344="Thôn",'PL1(Full)'!$I344&lt;140),"x",IF(AND('PL1(Full)'!$H344="Tổ",'PL1(Full)'!$I344&lt;210),"x","-"))</f>
        <v>x</v>
      </c>
      <c r="W344" s="40" t="str">
        <f t="shared" si="55"/>
        <v>Loại 3</v>
      </c>
      <c r="X344" s="34"/>
    </row>
    <row r="345" spans="1:24" ht="15.75" customHeight="1">
      <c r="A345" s="30">
        <f>_xlfn.AGGREGATE(4,7,A$6:A344)+1</f>
        <v>241</v>
      </c>
      <c r="B345" s="66" t="str">
        <f t="shared" ref="B345:C345" si="75">B344</f>
        <v>H. Chợ Đồn</v>
      </c>
      <c r="C345" s="31" t="str">
        <f t="shared" si="75"/>
        <v>TT. Bằng Lũng</v>
      </c>
      <c r="D345" s="34"/>
      <c r="E345" s="34" t="s">
        <v>36</v>
      </c>
      <c r="F345" s="31" t="s">
        <v>431</v>
      </c>
      <c r="G345" s="34"/>
      <c r="H345" s="34" t="str">
        <f>IF(LEFT('PL1(Full)'!$F345,4)="Thôn","Thôn","Tổ")</f>
        <v>Tổ</v>
      </c>
      <c r="I345" s="35">
        <v>35</v>
      </c>
      <c r="J345" s="35">
        <v>118</v>
      </c>
      <c r="K345" s="35">
        <v>28</v>
      </c>
      <c r="L345" s="37">
        <f t="shared" si="0"/>
        <v>80</v>
      </c>
      <c r="M345" s="35">
        <v>2</v>
      </c>
      <c r="N345" s="38">
        <f t="shared" si="1"/>
        <v>5.7142857142857144</v>
      </c>
      <c r="O345" s="36">
        <v>2</v>
      </c>
      <c r="P345" s="38">
        <f t="shared" si="2"/>
        <v>100</v>
      </c>
      <c r="Q345" s="88" t="s">
        <v>333</v>
      </c>
      <c r="R345" s="88" t="str">
        <f t="shared" si="3"/>
        <v>T</v>
      </c>
      <c r="S345" s="32"/>
      <c r="T345" s="34" t="str">
        <f>IF('PL1(Full)'!$N345&gt;=20,"x",IF(AND('PL1(Full)'!$N345&gt;=15,'PL1(Full)'!$P345&gt;60),"x",""))</f>
        <v/>
      </c>
      <c r="U345" s="34" t="str">
        <f>IF(AND('PL1(Full)'!$H345="Thôn",'PL1(Full)'!$I345&lt;75),"x",IF(AND('PL1(Full)'!$H345="Tổ",'PL1(Full)'!$I345&lt;100),"x","-"))</f>
        <v>x</v>
      </c>
      <c r="V345" s="34" t="str">
        <f>IF(AND('PL1(Full)'!$H345="Thôn",'PL1(Full)'!$I345&lt;140),"x",IF(AND('PL1(Full)'!$H345="Tổ",'PL1(Full)'!$I345&lt;210),"x","-"))</f>
        <v>x</v>
      </c>
      <c r="W345" s="40" t="str">
        <f t="shared" si="55"/>
        <v>Loại 3</v>
      </c>
      <c r="X345" s="34"/>
    </row>
    <row r="346" spans="1:24" ht="15.75" customHeight="1">
      <c r="A346" s="30">
        <f>_xlfn.AGGREGATE(4,7,A$6:A345)+1</f>
        <v>242</v>
      </c>
      <c r="B346" s="66" t="str">
        <f t="shared" ref="B346:C346" si="76">B345</f>
        <v>H. Chợ Đồn</v>
      </c>
      <c r="C346" s="31" t="str">
        <f t="shared" si="76"/>
        <v>TT. Bằng Lũng</v>
      </c>
      <c r="D346" s="34"/>
      <c r="E346" s="34" t="s">
        <v>36</v>
      </c>
      <c r="F346" s="31" t="s">
        <v>432</v>
      </c>
      <c r="G346" s="34"/>
      <c r="H346" s="34" t="str">
        <f>IF(LEFT('PL1(Full)'!$F346,4)="Thôn","Thôn","Tổ")</f>
        <v>Tổ</v>
      </c>
      <c r="I346" s="35">
        <v>59</v>
      </c>
      <c r="J346" s="35">
        <v>248</v>
      </c>
      <c r="K346" s="35">
        <v>53</v>
      </c>
      <c r="L346" s="37">
        <f t="shared" si="0"/>
        <v>89.830508474576277</v>
      </c>
      <c r="M346" s="35">
        <v>8</v>
      </c>
      <c r="N346" s="38">
        <f t="shared" si="1"/>
        <v>13.559322033898304</v>
      </c>
      <c r="O346" s="36">
        <v>5</v>
      </c>
      <c r="P346" s="38">
        <f t="shared" si="2"/>
        <v>62.5</v>
      </c>
      <c r="Q346" s="88" t="s">
        <v>82</v>
      </c>
      <c r="R346" s="88" t="str">
        <f t="shared" si="3"/>
        <v>X</v>
      </c>
      <c r="S346" s="32"/>
      <c r="T346" s="34" t="str">
        <f>IF('PL1(Full)'!$N346&gt;=20,"x",IF(AND('PL1(Full)'!$N346&gt;=15,'PL1(Full)'!$P346&gt;60),"x",""))</f>
        <v/>
      </c>
      <c r="U346" s="34" t="str">
        <f>IF(AND('PL1(Full)'!$H346="Thôn",'PL1(Full)'!$I346&lt;75),"x",IF(AND('PL1(Full)'!$H346="Tổ",'PL1(Full)'!$I346&lt;100),"x","-"))</f>
        <v>x</v>
      </c>
      <c r="V346" s="34" t="str">
        <f>IF(AND('PL1(Full)'!$H346="Thôn",'PL1(Full)'!$I346&lt;140),"x",IF(AND('PL1(Full)'!$H346="Tổ",'PL1(Full)'!$I346&lt;210),"x","-"))</f>
        <v>x</v>
      </c>
      <c r="W346" s="40" t="str">
        <f t="shared" si="55"/>
        <v>Loại 3</v>
      </c>
      <c r="X346" s="34"/>
    </row>
    <row r="347" spans="1:24" ht="15.75" customHeight="1">
      <c r="A347" s="30">
        <f>_xlfn.AGGREGATE(4,7,A$6:A346)+1</f>
        <v>243</v>
      </c>
      <c r="B347" s="66" t="str">
        <f t="shared" ref="B347:C347" si="77">B346</f>
        <v>H. Chợ Đồn</v>
      </c>
      <c r="C347" s="31" t="str">
        <f t="shared" si="77"/>
        <v>TT. Bằng Lũng</v>
      </c>
      <c r="D347" s="34"/>
      <c r="E347" s="34" t="s">
        <v>36</v>
      </c>
      <c r="F347" s="31" t="s">
        <v>433</v>
      </c>
      <c r="G347" s="34"/>
      <c r="H347" s="34" t="str">
        <f>IF(LEFT('PL1(Full)'!$F347,4)="Thôn","Thôn","Tổ")</f>
        <v>Tổ</v>
      </c>
      <c r="I347" s="35">
        <v>65</v>
      </c>
      <c r="J347" s="35">
        <v>268</v>
      </c>
      <c r="K347" s="35">
        <v>65</v>
      </c>
      <c r="L347" s="37">
        <f t="shared" si="0"/>
        <v>100</v>
      </c>
      <c r="M347" s="35">
        <v>10</v>
      </c>
      <c r="N347" s="38">
        <f t="shared" si="1"/>
        <v>15.384615384615385</v>
      </c>
      <c r="O347" s="36">
        <v>10</v>
      </c>
      <c r="P347" s="38">
        <f t="shared" si="2"/>
        <v>100</v>
      </c>
      <c r="Q347" s="88" t="s">
        <v>82</v>
      </c>
      <c r="R347" s="88" t="str">
        <f t="shared" si="3"/>
        <v>X</v>
      </c>
      <c r="S347" s="32" t="s">
        <v>60</v>
      </c>
      <c r="T347" s="34" t="str">
        <f>IF('PL1(Full)'!$N347&gt;=20,"x",IF(AND('PL1(Full)'!$N347&gt;=15,'PL1(Full)'!$P347&gt;60),"x",""))</f>
        <v>x</v>
      </c>
      <c r="U347" s="34" t="str">
        <f>IF(AND('PL1(Full)'!$H347="Thôn",'PL1(Full)'!$I347&lt;75),"x",IF(AND('PL1(Full)'!$H347="Tổ",'PL1(Full)'!$I347&lt;100),"x","-"))</f>
        <v>x</v>
      </c>
      <c r="V347" s="34" t="str">
        <f>IF(AND('PL1(Full)'!$H347="Thôn",'PL1(Full)'!$I347&lt;140),"x",IF(AND('PL1(Full)'!$H347="Tổ",'PL1(Full)'!$I347&lt;210),"x","-"))</f>
        <v>x</v>
      </c>
      <c r="W347" s="40" t="str">
        <f t="shared" si="55"/>
        <v>Loại 3</v>
      </c>
      <c r="X347" s="34"/>
    </row>
    <row r="348" spans="1:24" ht="15.75" customHeight="1">
      <c r="A348" s="30">
        <f>_xlfn.AGGREGATE(4,7,A$6:A347)+1</f>
        <v>244</v>
      </c>
      <c r="B348" s="66" t="str">
        <f t="shared" ref="B348:C348" si="78">B347</f>
        <v>H. Chợ Đồn</v>
      </c>
      <c r="C348" s="31" t="str">
        <f t="shared" si="78"/>
        <v>TT. Bằng Lũng</v>
      </c>
      <c r="D348" s="34"/>
      <c r="E348" s="34" t="s">
        <v>36</v>
      </c>
      <c r="F348" s="31" t="s">
        <v>434</v>
      </c>
      <c r="G348" s="34"/>
      <c r="H348" s="34" t="str">
        <f>IF(LEFT('PL1(Full)'!$F348,4)="Thôn","Thôn","Tổ")</f>
        <v>Tổ</v>
      </c>
      <c r="I348" s="35">
        <v>58</v>
      </c>
      <c r="J348" s="35">
        <v>239</v>
      </c>
      <c r="K348" s="35">
        <v>57</v>
      </c>
      <c r="L348" s="37">
        <f t="shared" si="0"/>
        <v>98.275862068965523</v>
      </c>
      <c r="M348" s="35">
        <v>10</v>
      </c>
      <c r="N348" s="38">
        <f t="shared" si="1"/>
        <v>17.241379310344829</v>
      </c>
      <c r="O348" s="36">
        <v>10</v>
      </c>
      <c r="P348" s="38">
        <f t="shared" si="2"/>
        <v>100</v>
      </c>
      <c r="Q348" s="88" t="s">
        <v>82</v>
      </c>
      <c r="R348" s="88" t="str">
        <f t="shared" si="3"/>
        <v>X</v>
      </c>
      <c r="S348" s="32" t="s">
        <v>60</v>
      </c>
      <c r="T348" s="34" t="str">
        <f>IF('PL1(Full)'!$N348&gt;=20,"x",IF(AND('PL1(Full)'!$N348&gt;=15,'PL1(Full)'!$P348&gt;60),"x",""))</f>
        <v>x</v>
      </c>
      <c r="U348" s="34" t="str">
        <f>IF(AND('PL1(Full)'!$H348="Thôn",'PL1(Full)'!$I348&lt;75),"x",IF(AND('PL1(Full)'!$H348="Tổ",'PL1(Full)'!$I348&lt;100),"x","-"))</f>
        <v>x</v>
      </c>
      <c r="V348" s="34" t="str">
        <f>IF(AND('PL1(Full)'!$H348="Thôn",'PL1(Full)'!$I348&lt;140),"x",IF(AND('PL1(Full)'!$H348="Tổ",'PL1(Full)'!$I348&lt;210),"x","-"))</f>
        <v>x</v>
      </c>
      <c r="W348" s="40" t="str">
        <f t="shared" si="55"/>
        <v>Loại 3</v>
      </c>
      <c r="X348" s="34"/>
    </row>
    <row r="349" spans="1:24" ht="15.75" hidden="1" customHeight="1">
      <c r="A349" s="41">
        <f>_xlfn.AGGREGATE(4,7,A$6:A348)+1</f>
        <v>245</v>
      </c>
      <c r="B349" s="67" t="str">
        <f t="shared" ref="B349:C349" si="79">B348</f>
        <v>H. Chợ Đồn</v>
      </c>
      <c r="C349" s="42" t="str">
        <f t="shared" si="79"/>
        <v>TT. Bằng Lũng</v>
      </c>
      <c r="D349" s="50"/>
      <c r="E349" s="50" t="s">
        <v>36</v>
      </c>
      <c r="F349" s="42" t="s">
        <v>435</v>
      </c>
      <c r="G349" s="50"/>
      <c r="H349" s="50" t="str">
        <f>IF(LEFT('PL1(Full)'!$F349,4)="Thôn","Thôn","Tổ")</f>
        <v>Tổ</v>
      </c>
      <c r="I349" s="45">
        <v>139</v>
      </c>
      <c r="J349" s="45">
        <v>500</v>
      </c>
      <c r="K349" s="45">
        <v>120</v>
      </c>
      <c r="L349" s="47">
        <f t="shared" si="0"/>
        <v>86.330935251798564</v>
      </c>
      <c r="M349" s="45">
        <v>37</v>
      </c>
      <c r="N349" s="48">
        <f t="shared" si="1"/>
        <v>26.618705035971225</v>
      </c>
      <c r="O349" s="46">
        <v>35</v>
      </c>
      <c r="P349" s="48">
        <f t="shared" si="2"/>
        <v>94.594594594594597</v>
      </c>
      <c r="Q349" s="89" t="s">
        <v>49</v>
      </c>
      <c r="R349" s="89" t="str">
        <f t="shared" si="3"/>
        <v>X</v>
      </c>
      <c r="S349" s="43" t="s">
        <v>60</v>
      </c>
      <c r="T349" s="50" t="str">
        <f>IF('PL1(Full)'!$N349&gt;=20,"x",IF(AND('PL1(Full)'!$N349&gt;=15,'PL1(Full)'!$P349&gt;60),"x",""))</f>
        <v>x</v>
      </c>
      <c r="U349" s="50" t="str">
        <f>IF(AND('PL1(Full)'!$H349="Thôn",'PL1(Full)'!$I349&lt;75),"x",IF(AND('PL1(Full)'!$H349="Tổ",'PL1(Full)'!$I349&lt;100),"x","-"))</f>
        <v>-</v>
      </c>
      <c r="V349" s="34" t="str">
        <f>IF(AND('PL1(Full)'!$H349="Thôn",'PL1(Full)'!$I349&lt;140),"x",IF(AND('PL1(Full)'!$H349="Tổ",'PL1(Full)'!$I349&lt;210),"x","-"))</f>
        <v>x</v>
      </c>
      <c r="W349" s="51" t="str">
        <f t="shared" si="55"/>
        <v>Loại 3</v>
      </c>
      <c r="X349" s="50"/>
    </row>
    <row r="350" spans="1:24" ht="15.75" customHeight="1">
      <c r="A350" s="52">
        <f>_xlfn.AGGREGATE(4,7,A$6:A349)+1</f>
        <v>245</v>
      </c>
      <c r="B350" s="65" t="str">
        <f t="shared" ref="B350:B551" si="80">B349</f>
        <v>H. Chợ Đồn</v>
      </c>
      <c r="C350" s="14" t="s">
        <v>436</v>
      </c>
      <c r="D350" s="25" t="s">
        <v>58</v>
      </c>
      <c r="E350" s="25" t="s">
        <v>58</v>
      </c>
      <c r="F350" s="14" t="s">
        <v>437</v>
      </c>
      <c r="G350" s="25"/>
      <c r="H350" s="25" t="str">
        <f>IF(LEFT('PL1(Full)'!$F350,4)="Thôn","Thôn","Tổ")</f>
        <v>Thôn</v>
      </c>
      <c r="I350" s="20">
        <v>32</v>
      </c>
      <c r="J350" s="20">
        <v>105</v>
      </c>
      <c r="K350" s="20">
        <v>32</v>
      </c>
      <c r="L350" s="21">
        <f t="shared" si="0"/>
        <v>100</v>
      </c>
      <c r="M350" s="20">
        <v>4</v>
      </c>
      <c r="N350" s="22">
        <f t="shared" si="1"/>
        <v>12.5</v>
      </c>
      <c r="O350" s="20">
        <v>4</v>
      </c>
      <c r="P350" s="22">
        <f t="shared" si="2"/>
        <v>100</v>
      </c>
      <c r="Q350" s="87" t="s">
        <v>82</v>
      </c>
      <c r="R350" s="87" t="str">
        <f t="shared" si="3"/>
        <v>X</v>
      </c>
      <c r="S350" s="18" t="s">
        <v>60</v>
      </c>
      <c r="T350" s="26" t="str">
        <f>IF('PL1(Full)'!$N350&gt;=20,"x",IF(AND('PL1(Full)'!$N350&gt;=15,'PL1(Full)'!$P350&gt;60),"x",""))</f>
        <v/>
      </c>
      <c r="U350" s="27" t="str">
        <f>IF(AND('PL1(Full)'!$H350="Thôn",'PL1(Full)'!$I350&lt;75),"x",IF(AND('PL1(Full)'!$H350="Tổ",'PL1(Full)'!$I350&lt;100),"x","-"))</f>
        <v>x</v>
      </c>
      <c r="V350" s="28" t="str">
        <f>IF(AND('PL1(Full)'!$H350="Thôn",'PL1(Full)'!$I350&lt;140),"x",IF(AND('PL1(Full)'!$H350="Tổ",'PL1(Full)'!$I350&lt;210),"x","-"))</f>
        <v>x</v>
      </c>
      <c r="W350" s="29" t="str">
        <f t="shared" ref="W350:W551" si="81">IF(I350&gt;=150,"Loại 1",IF(I350&gt;=100,"Loại 2","Loại 3"))</f>
        <v>Loại 3</v>
      </c>
      <c r="X350" s="25"/>
    </row>
    <row r="351" spans="1:24" ht="15.75" customHeight="1">
      <c r="A351" s="30">
        <f>_xlfn.AGGREGATE(4,7,A$6:A350)+1</f>
        <v>246</v>
      </c>
      <c r="B351" s="66" t="str">
        <f t="shared" si="80"/>
        <v>H. Chợ Đồn</v>
      </c>
      <c r="C351" s="31" t="str">
        <f t="shared" ref="C351:C357" si="82">C350</f>
        <v>X. Bản Thi</v>
      </c>
      <c r="D351" s="34"/>
      <c r="E351" s="34" t="s">
        <v>58</v>
      </c>
      <c r="F351" s="31" t="s">
        <v>438</v>
      </c>
      <c r="G351" s="34"/>
      <c r="H351" s="34" t="str">
        <f>IF(LEFT('PL1(Full)'!$F351,4)="Thôn","Thôn","Tổ")</f>
        <v>Thôn</v>
      </c>
      <c r="I351" s="36">
        <v>72</v>
      </c>
      <c r="J351" s="36">
        <v>259</v>
      </c>
      <c r="K351" s="36">
        <v>53</v>
      </c>
      <c r="L351" s="37">
        <f t="shared" si="0"/>
        <v>73.611111111111114</v>
      </c>
      <c r="M351" s="36">
        <v>9</v>
      </c>
      <c r="N351" s="38">
        <f t="shared" si="1"/>
        <v>12.5</v>
      </c>
      <c r="O351" s="36">
        <v>4</v>
      </c>
      <c r="P351" s="38">
        <f t="shared" si="2"/>
        <v>44.444444444444443</v>
      </c>
      <c r="Q351" s="88" t="s">
        <v>47</v>
      </c>
      <c r="R351" s="88" t="str">
        <f t="shared" si="3"/>
        <v>X</v>
      </c>
      <c r="S351" s="32"/>
      <c r="T351" s="34" t="str">
        <f>IF('PL1(Full)'!$N351&gt;=20,"x",IF(AND('PL1(Full)'!$N351&gt;=15,'PL1(Full)'!$P351&gt;60),"x",""))</f>
        <v/>
      </c>
      <c r="U351" s="34" t="str">
        <f>IF(AND('PL1(Full)'!$H351="Thôn",'PL1(Full)'!$I351&lt;75),"x",IF(AND('PL1(Full)'!$H351="Tổ",'PL1(Full)'!$I351&lt;100),"x","-"))</f>
        <v>x</v>
      </c>
      <c r="V351" s="34" t="str">
        <f>IF(AND('PL1(Full)'!$H351="Thôn",'PL1(Full)'!$I351&lt;140),"x",IF(AND('PL1(Full)'!$H351="Tổ",'PL1(Full)'!$I351&lt;210),"x","-"))</f>
        <v>x</v>
      </c>
      <c r="W351" s="40" t="str">
        <f t="shared" si="81"/>
        <v>Loại 3</v>
      </c>
      <c r="X351" s="34"/>
    </row>
    <row r="352" spans="1:24" ht="15.75" hidden="1" customHeight="1">
      <c r="A352" s="30">
        <f>_xlfn.AGGREGATE(4,7,A$6:A351)+1</f>
        <v>247</v>
      </c>
      <c r="B352" s="66" t="str">
        <f t="shared" si="80"/>
        <v>H. Chợ Đồn</v>
      </c>
      <c r="C352" s="31" t="str">
        <f t="shared" si="82"/>
        <v>X. Bản Thi</v>
      </c>
      <c r="D352" s="34"/>
      <c r="E352" s="34" t="s">
        <v>58</v>
      </c>
      <c r="F352" s="31" t="s">
        <v>439</v>
      </c>
      <c r="G352" s="34"/>
      <c r="H352" s="34" t="str">
        <f>IF(LEFT('PL1(Full)'!$F352,4)="Thôn","Thôn","Tổ")</f>
        <v>Thôn</v>
      </c>
      <c r="I352" s="36">
        <v>173</v>
      </c>
      <c r="J352" s="36">
        <v>518</v>
      </c>
      <c r="K352" s="36">
        <v>83</v>
      </c>
      <c r="L352" s="37">
        <f t="shared" si="0"/>
        <v>47.97687861271676</v>
      </c>
      <c r="M352" s="36">
        <v>28</v>
      </c>
      <c r="N352" s="38">
        <f t="shared" si="1"/>
        <v>16.184971098265898</v>
      </c>
      <c r="O352" s="36">
        <v>15</v>
      </c>
      <c r="P352" s="38">
        <f t="shared" si="2"/>
        <v>53.571428571428569</v>
      </c>
      <c r="Q352" s="88" t="s">
        <v>440</v>
      </c>
      <c r="R352" s="88" t="str">
        <f t="shared" si="3"/>
        <v>X</v>
      </c>
      <c r="S352" s="32" t="s">
        <v>60</v>
      </c>
      <c r="T352" s="34" t="str">
        <f>IF('PL1(Full)'!$N352&gt;=20,"x",IF(AND('PL1(Full)'!$N352&gt;=15,'PL1(Full)'!$P352&gt;60),"x",""))</f>
        <v/>
      </c>
      <c r="U352" s="34" t="str">
        <f>IF(AND('PL1(Full)'!$H352="Thôn",'PL1(Full)'!$I352&lt;75),"x",IF(AND('PL1(Full)'!$H352="Tổ",'PL1(Full)'!$I352&lt;100),"x","-"))</f>
        <v>-</v>
      </c>
      <c r="V352" s="34" t="str">
        <f>IF(AND('PL1(Full)'!$H352="Thôn",'PL1(Full)'!$I352&lt;140),"x",IF(AND('PL1(Full)'!$H352="Tổ",'PL1(Full)'!$I352&lt;210),"x","-"))</f>
        <v>-</v>
      </c>
      <c r="W352" s="40" t="str">
        <f t="shared" si="81"/>
        <v>Loại 1</v>
      </c>
      <c r="X352" s="34"/>
    </row>
    <row r="353" spans="1:24" ht="15.75" customHeight="1">
      <c r="A353" s="30">
        <f>_xlfn.AGGREGATE(4,7,A$6:A352)+1</f>
        <v>247</v>
      </c>
      <c r="B353" s="66" t="str">
        <f t="shared" si="80"/>
        <v>H. Chợ Đồn</v>
      </c>
      <c r="C353" s="31" t="str">
        <f t="shared" si="82"/>
        <v>X. Bản Thi</v>
      </c>
      <c r="D353" s="34"/>
      <c r="E353" s="34" t="s">
        <v>58</v>
      </c>
      <c r="F353" s="31" t="s">
        <v>441</v>
      </c>
      <c r="G353" s="34"/>
      <c r="H353" s="34" t="str">
        <f>IF(LEFT('PL1(Full)'!$F353,4)="Thôn","Thôn","Tổ")</f>
        <v>Thôn</v>
      </c>
      <c r="I353" s="36">
        <v>49</v>
      </c>
      <c r="J353" s="36">
        <v>196</v>
      </c>
      <c r="K353" s="36">
        <v>49</v>
      </c>
      <c r="L353" s="37">
        <f t="shared" si="0"/>
        <v>100</v>
      </c>
      <c r="M353" s="36">
        <v>15</v>
      </c>
      <c r="N353" s="38">
        <f t="shared" si="1"/>
        <v>30.612244897959183</v>
      </c>
      <c r="O353" s="36">
        <v>15</v>
      </c>
      <c r="P353" s="38">
        <f t="shared" si="2"/>
        <v>100</v>
      </c>
      <c r="Q353" s="88" t="s">
        <v>56</v>
      </c>
      <c r="R353" s="88" t="str">
        <f t="shared" si="3"/>
        <v>X</v>
      </c>
      <c r="S353" s="32" t="s">
        <v>60</v>
      </c>
      <c r="T353" s="34" t="str">
        <f>IF('PL1(Full)'!$N353&gt;=20,"x",IF(AND('PL1(Full)'!$N353&gt;=15,'PL1(Full)'!$P353&gt;60),"x",""))</f>
        <v>x</v>
      </c>
      <c r="U353" s="34" t="str">
        <f>IF(AND('PL1(Full)'!$H353="Thôn",'PL1(Full)'!$I353&lt;75),"x",IF(AND('PL1(Full)'!$H353="Tổ",'PL1(Full)'!$I353&lt;100),"x","-"))</f>
        <v>x</v>
      </c>
      <c r="V353" s="34" t="str">
        <f>IF(AND('PL1(Full)'!$H353="Thôn",'PL1(Full)'!$I353&lt;140),"x",IF(AND('PL1(Full)'!$H353="Tổ",'PL1(Full)'!$I353&lt;210),"x","-"))</f>
        <v>x</v>
      </c>
      <c r="W353" s="40" t="str">
        <f t="shared" si="81"/>
        <v>Loại 3</v>
      </c>
      <c r="X353" s="34"/>
    </row>
    <row r="354" spans="1:24" ht="15.75" customHeight="1">
      <c r="A354" s="30">
        <f>_xlfn.AGGREGATE(4,7,A$6:A353)+1</f>
        <v>248</v>
      </c>
      <c r="B354" s="66" t="str">
        <f t="shared" si="80"/>
        <v>H. Chợ Đồn</v>
      </c>
      <c r="C354" s="31" t="str">
        <f t="shared" si="82"/>
        <v>X. Bản Thi</v>
      </c>
      <c r="D354" s="34"/>
      <c r="E354" s="34" t="s">
        <v>58</v>
      </c>
      <c r="F354" s="31" t="s">
        <v>442</v>
      </c>
      <c r="G354" s="34"/>
      <c r="H354" s="34" t="str">
        <f>IF(LEFT('PL1(Full)'!$F354,4)="Thôn","Thôn","Tổ")</f>
        <v>Thôn</v>
      </c>
      <c r="I354" s="36">
        <v>15</v>
      </c>
      <c r="J354" s="36">
        <v>63</v>
      </c>
      <c r="K354" s="36">
        <v>14</v>
      </c>
      <c r="L354" s="37">
        <f t="shared" si="0"/>
        <v>93.333333333333329</v>
      </c>
      <c r="M354" s="36">
        <v>12</v>
      </c>
      <c r="N354" s="38">
        <f t="shared" si="1"/>
        <v>80</v>
      </c>
      <c r="O354" s="36">
        <v>12</v>
      </c>
      <c r="P354" s="38">
        <f t="shared" si="2"/>
        <v>100</v>
      </c>
      <c r="Q354" s="88" t="s">
        <v>82</v>
      </c>
      <c r="R354" s="88" t="str">
        <f t="shared" si="3"/>
        <v>X</v>
      </c>
      <c r="S354" s="32" t="s">
        <v>60</v>
      </c>
      <c r="T354" s="34" t="str">
        <f>IF('PL1(Full)'!$N354&gt;=20,"x",IF(AND('PL1(Full)'!$N354&gt;=15,'PL1(Full)'!$P354&gt;60),"x",""))</f>
        <v>x</v>
      </c>
      <c r="U354" s="34" t="str">
        <f>IF(AND('PL1(Full)'!$H354="Thôn",'PL1(Full)'!$I354&lt;75),"x",IF(AND('PL1(Full)'!$H354="Tổ",'PL1(Full)'!$I354&lt;100),"x","-"))</f>
        <v>x</v>
      </c>
      <c r="V354" s="34" t="str">
        <f>IF(AND('PL1(Full)'!$H354="Thôn",'PL1(Full)'!$I354&lt;140),"x",IF(AND('PL1(Full)'!$H354="Tổ",'PL1(Full)'!$I354&lt;210),"x","-"))</f>
        <v>x</v>
      </c>
      <c r="W354" s="40" t="str">
        <f t="shared" si="81"/>
        <v>Loại 3</v>
      </c>
      <c r="X354" s="34"/>
    </row>
    <row r="355" spans="1:24" ht="15.75" customHeight="1">
      <c r="A355" s="30">
        <f>_xlfn.AGGREGATE(4,7,A$6:A354)+1</f>
        <v>249</v>
      </c>
      <c r="B355" s="66" t="str">
        <f t="shared" si="80"/>
        <v>H. Chợ Đồn</v>
      </c>
      <c r="C355" s="31" t="str">
        <f t="shared" si="82"/>
        <v>X. Bản Thi</v>
      </c>
      <c r="D355" s="34"/>
      <c r="E355" s="34" t="s">
        <v>58</v>
      </c>
      <c r="F355" s="31" t="s">
        <v>443</v>
      </c>
      <c r="G355" s="34"/>
      <c r="H355" s="34" t="str">
        <f>IF(LEFT('PL1(Full)'!$F355,4)="Thôn","Thôn","Tổ")</f>
        <v>Thôn</v>
      </c>
      <c r="I355" s="36">
        <v>41</v>
      </c>
      <c r="J355" s="36">
        <v>190</v>
      </c>
      <c r="K355" s="36">
        <v>41</v>
      </c>
      <c r="L355" s="37">
        <f t="shared" si="0"/>
        <v>100</v>
      </c>
      <c r="M355" s="36">
        <v>16</v>
      </c>
      <c r="N355" s="38">
        <f t="shared" si="1"/>
        <v>39.024390243902438</v>
      </c>
      <c r="O355" s="36">
        <v>16</v>
      </c>
      <c r="P355" s="38">
        <f t="shared" si="2"/>
        <v>100</v>
      </c>
      <c r="Q355" s="88" t="s">
        <v>158</v>
      </c>
      <c r="R355" s="88" t="str">
        <f t="shared" si="3"/>
        <v>X</v>
      </c>
      <c r="S355" s="32" t="s">
        <v>60</v>
      </c>
      <c r="T355" s="34" t="str">
        <f>IF('PL1(Full)'!$N355&gt;=20,"x",IF(AND('PL1(Full)'!$N355&gt;=15,'PL1(Full)'!$P355&gt;60),"x",""))</f>
        <v>x</v>
      </c>
      <c r="U355" s="34" t="str">
        <f>IF(AND('PL1(Full)'!$H355="Thôn",'PL1(Full)'!$I355&lt;75),"x",IF(AND('PL1(Full)'!$H355="Tổ",'PL1(Full)'!$I355&lt;100),"x","-"))</f>
        <v>x</v>
      </c>
      <c r="V355" s="34" t="str">
        <f>IF(AND('PL1(Full)'!$H355="Thôn",'PL1(Full)'!$I355&lt;140),"x",IF(AND('PL1(Full)'!$H355="Tổ",'PL1(Full)'!$I355&lt;210),"x","-"))</f>
        <v>x</v>
      </c>
      <c r="W355" s="40" t="str">
        <f t="shared" si="81"/>
        <v>Loại 3</v>
      </c>
      <c r="X355" s="34"/>
    </row>
    <row r="356" spans="1:24" ht="15.75" customHeight="1">
      <c r="A356" s="30">
        <f>_xlfn.AGGREGATE(4,7,A$6:A355)+1</f>
        <v>250</v>
      </c>
      <c r="B356" s="66" t="str">
        <f t="shared" si="80"/>
        <v>H. Chợ Đồn</v>
      </c>
      <c r="C356" s="31" t="str">
        <f t="shared" si="82"/>
        <v>X. Bản Thi</v>
      </c>
      <c r="D356" s="34"/>
      <c r="E356" s="34" t="s">
        <v>58</v>
      </c>
      <c r="F356" s="31" t="s">
        <v>249</v>
      </c>
      <c r="G356" s="34"/>
      <c r="H356" s="34" t="str">
        <f>IF(LEFT('PL1(Full)'!$F356,4)="Thôn","Thôn","Tổ")</f>
        <v>Thôn</v>
      </c>
      <c r="I356" s="36">
        <v>41</v>
      </c>
      <c r="J356" s="36">
        <v>145</v>
      </c>
      <c r="K356" s="36">
        <v>33</v>
      </c>
      <c r="L356" s="37">
        <f t="shared" si="0"/>
        <v>80.487804878048777</v>
      </c>
      <c r="M356" s="36">
        <v>14</v>
      </c>
      <c r="N356" s="38">
        <f t="shared" si="1"/>
        <v>34.146341463414636</v>
      </c>
      <c r="O356" s="36">
        <v>11</v>
      </c>
      <c r="P356" s="38">
        <f t="shared" si="2"/>
        <v>78.571428571428569</v>
      </c>
      <c r="Q356" s="88" t="s">
        <v>82</v>
      </c>
      <c r="R356" s="88" t="str">
        <f t="shared" si="3"/>
        <v>X</v>
      </c>
      <c r="S356" s="32" t="s">
        <v>60</v>
      </c>
      <c r="T356" s="34" t="str">
        <f>IF('PL1(Full)'!$N356&gt;=20,"x",IF(AND('PL1(Full)'!$N356&gt;=15,'PL1(Full)'!$P356&gt;60),"x",""))</f>
        <v>x</v>
      </c>
      <c r="U356" s="34" t="str">
        <f>IF(AND('PL1(Full)'!$H356="Thôn",'PL1(Full)'!$I356&lt;75),"x",IF(AND('PL1(Full)'!$H356="Tổ",'PL1(Full)'!$I356&lt;100),"x","-"))</f>
        <v>x</v>
      </c>
      <c r="V356" s="34" t="str">
        <f>IF(AND('PL1(Full)'!$H356="Thôn",'PL1(Full)'!$I356&lt;140),"x",IF(AND('PL1(Full)'!$H356="Tổ",'PL1(Full)'!$I356&lt;210),"x","-"))</f>
        <v>x</v>
      </c>
      <c r="W356" s="40" t="str">
        <f t="shared" si="81"/>
        <v>Loại 3</v>
      </c>
      <c r="X356" s="34"/>
    </row>
    <row r="357" spans="1:24" ht="15.75" customHeight="1">
      <c r="A357" s="41">
        <f>_xlfn.AGGREGATE(4,7,A$6:A356)+1</f>
        <v>251</v>
      </c>
      <c r="B357" s="67" t="str">
        <f t="shared" si="80"/>
        <v>H. Chợ Đồn</v>
      </c>
      <c r="C357" s="42" t="str">
        <f t="shared" si="82"/>
        <v>X. Bản Thi</v>
      </c>
      <c r="D357" s="50"/>
      <c r="E357" s="50" t="s">
        <v>58</v>
      </c>
      <c r="F357" s="42" t="s">
        <v>444</v>
      </c>
      <c r="G357" s="50"/>
      <c r="H357" s="50" t="str">
        <f>IF(LEFT('PL1(Full)'!$F357,4)="Thôn","Thôn","Tổ")</f>
        <v>Thôn</v>
      </c>
      <c r="I357" s="46">
        <v>24</v>
      </c>
      <c r="J357" s="46">
        <v>100</v>
      </c>
      <c r="K357" s="46">
        <v>15</v>
      </c>
      <c r="L357" s="47">
        <f t="shared" si="0"/>
        <v>62.5</v>
      </c>
      <c r="M357" s="46">
        <v>2</v>
      </c>
      <c r="N357" s="48">
        <f t="shared" si="1"/>
        <v>8.3333333333333339</v>
      </c>
      <c r="O357" s="46">
        <v>2</v>
      </c>
      <c r="P357" s="48">
        <f t="shared" si="2"/>
        <v>100</v>
      </c>
      <c r="Q357" s="89" t="s">
        <v>82</v>
      </c>
      <c r="R357" s="89" t="str">
        <f t="shared" si="3"/>
        <v>X</v>
      </c>
      <c r="S357" s="43" t="s">
        <v>60</v>
      </c>
      <c r="T357" s="50" t="str">
        <f>IF('PL1(Full)'!$N357&gt;=20,"x",IF(AND('PL1(Full)'!$N357&gt;=15,'PL1(Full)'!$P357&gt;60),"x",""))</f>
        <v/>
      </c>
      <c r="U357" s="50" t="str">
        <f>IF(AND('PL1(Full)'!$H357="Thôn",'PL1(Full)'!$I357&lt;75),"x",IF(AND('PL1(Full)'!$H357="Tổ",'PL1(Full)'!$I357&lt;100),"x","-"))</f>
        <v>x</v>
      </c>
      <c r="V357" s="34" t="str">
        <f>IF(AND('PL1(Full)'!$H357="Thôn",'PL1(Full)'!$I357&lt;140),"x",IF(AND('PL1(Full)'!$H357="Tổ",'PL1(Full)'!$I357&lt;210),"x","-"))</f>
        <v>x</v>
      </c>
      <c r="W357" s="51" t="str">
        <f t="shared" si="81"/>
        <v>Loại 3</v>
      </c>
      <c r="X357" s="50"/>
    </row>
    <row r="358" spans="1:24" ht="15.75" customHeight="1">
      <c r="A358" s="52">
        <f>_xlfn.AGGREGATE(4,7,A$6:A357)+1</f>
        <v>252</v>
      </c>
      <c r="B358" s="65" t="str">
        <f t="shared" si="80"/>
        <v>H. Chợ Đồn</v>
      </c>
      <c r="C358" s="14" t="s">
        <v>445</v>
      </c>
      <c r="D358" s="25" t="s">
        <v>36</v>
      </c>
      <c r="E358" s="25" t="s">
        <v>36</v>
      </c>
      <c r="F358" s="14" t="s">
        <v>446</v>
      </c>
      <c r="G358" s="25"/>
      <c r="H358" s="25" t="str">
        <f>IF(LEFT('PL1(Full)'!$F358,4)="Thôn","Thôn","Tổ")</f>
        <v>Thôn</v>
      </c>
      <c r="I358" s="20">
        <v>57</v>
      </c>
      <c r="J358" s="20">
        <v>229</v>
      </c>
      <c r="K358" s="20">
        <v>53</v>
      </c>
      <c r="L358" s="21">
        <f t="shared" si="0"/>
        <v>92.982456140350877</v>
      </c>
      <c r="M358" s="20">
        <v>5</v>
      </c>
      <c r="N358" s="22">
        <f t="shared" si="1"/>
        <v>8.7719298245614041</v>
      </c>
      <c r="O358" s="20">
        <v>5</v>
      </c>
      <c r="P358" s="22">
        <f t="shared" si="2"/>
        <v>100</v>
      </c>
      <c r="Q358" s="87" t="s">
        <v>56</v>
      </c>
      <c r="R358" s="87" t="str">
        <f t="shared" si="3"/>
        <v>X</v>
      </c>
      <c r="S358" s="18" t="s">
        <v>60</v>
      </c>
      <c r="T358" s="26" t="str">
        <f>IF('PL1(Full)'!$N358&gt;=20,"x",IF(AND('PL1(Full)'!$N358&gt;=15,'PL1(Full)'!$P358&gt;60),"x",""))</f>
        <v/>
      </c>
      <c r="U358" s="27" t="str">
        <f>IF(AND('PL1(Full)'!$H358="Thôn",'PL1(Full)'!$I358&lt;75),"x",IF(AND('PL1(Full)'!$H358="Tổ",'PL1(Full)'!$I358&lt;100),"x","-"))</f>
        <v>x</v>
      </c>
      <c r="V358" s="28" t="str">
        <f>IF(AND('PL1(Full)'!$H358="Thôn",'PL1(Full)'!$I358&lt;140),"x",IF(AND('PL1(Full)'!$H358="Tổ",'PL1(Full)'!$I358&lt;210),"x","-"))</f>
        <v>x</v>
      </c>
      <c r="W358" s="29" t="str">
        <f t="shared" si="81"/>
        <v>Loại 3</v>
      </c>
      <c r="X358" s="25"/>
    </row>
    <row r="359" spans="1:24" ht="15.75" customHeight="1">
      <c r="A359" s="30">
        <f>_xlfn.AGGREGATE(4,7,A$6:A358)+1</f>
        <v>253</v>
      </c>
      <c r="B359" s="66" t="str">
        <f t="shared" si="80"/>
        <v>H. Chợ Đồn</v>
      </c>
      <c r="C359" s="31" t="str">
        <f t="shared" ref="C359:C367" si="83">C358</f>
        <v>X. Bằng Lãng</v>
      </c>
      <c r="D359" s="34"/>
      <c r="E359" s="34" t="s">
        <v>36</v>
      </c>
      <c r="F359" s="31" t="s">
        <v>447</v>
      </c>
      <c r="G359" s="34"/>
      <c r="H359" s="34" t="str">
        <f>IF(LEFT('PL1(Full)'!$F359,4)="Thôn","Thôn","Tổ")</f>
        <v>Thôn</v>
      </c>
      <c r="I359" s="36">
        <v>58</v>
      </c>
      <c r="J359" s="36">
        <v>234</v>
      </c>
      <c r="K359" s="36">
        <v>58</v>
      </c>
      <c r="L359" s="37">
        <f t="shared" si="0"/>
        <v>100</v>
      </c>
      <c r="M359" s="36">
        <v>6</v>
      </c>
      <c r="N359" s="38">
        <f t="shared" si="1"/>
        <v>10.344827586206897</v>
      </c>
      <c r="O359" s="36">
        <v>6</v>
      </c>
      <c r="P359" s="38">
        <f t="shared" si="2"/>
        <v>100</v>
      </c>
      <c r="Q359" s="88" t="s">
        <v>56</v>
      </c>
      <c r="R359" s="88" t="str">
        <f t="shared" si="3"/>
        <v>X</v>
      </c>
      <c r="S359" s="32"/>
      <c r="T359" s="34" t="str">
        <f>IF('PL1(Full)'!$N359&gt;=20,"x",IF(AND('PL1(Full)'!$N359&gt;=15,'PL1(Full)'!$P359&gt;60),"x",""))</f>
        <v/>
      </c>
      <c r="U359" s="34" t="str">
        <f>IF(AND('PL1(Full)'!$H359="Thôn",'PL1(Full)'!$I359&lt;75),"x",IF(AND('PL1(Full)'!$H359="Tổ",'PL1(Full)'!$I359&lt;100),"x","-"))</f>
        <v>x</v>
      </c>
      <c r="V359" s="34" t="str">
        <f>IF(AND('PL1(Full)'!$H359="Thôn",'PL1(Full)'!$I359&lt;140),"x",IF(AND('PL1(Full)'!$H359="Tổ",'PL1(Full)'!$I359&lt;210),"x","-"))</f>
        <v>x</v>
      </c>
      <c r="W359" s="40" t="str">
        <f t="shared" si="81"/>
        <v>Loại 3</v>
      </c>
      <c r="X359" s="34"/>
    </row>
    <row r="360" spans="1:24" ht="15.75" customHeight="1">
      <c r="A360" s="30">
        <f>_xlfn.AGGREGATE(4,7,A$6:A359)+1</f>
        <v>254</v>
      </c>
      <c r="B360" s="66" t="str">
        <f t="shared" si="80"/>
        <v>H. Chợ Đồn</v>
      </c>
      <c r="C360" s="31" t="str">
        <f t="shared" si="83"/>
        <v>X. Bằng Lãng</v>
      </c>
      <c r="D360" s="34"/>
      <c r="E360" s="34" t="s">
        <v>36</v>
      </c>
      <c r="F360" s="31" t="s">
        <v>448</v>
      </c>
      <c r="G360" s="34"/>
      <c r="H360" s="34" t="str">
        <f>IF(LEFT('PL1(Full)'!$F360,4)="Thôn","Thôn","Tổ")</f>
        <v>Thôn</v>
      </c>
      <c r="I360" s="36">
        <v>33</v>
      </c>
      <c r="J360" s="36">
        <v>135</v>
      </c>
      <c r="K360" s="36">
        <v>31</v>
      </c>
      <c r="L360" s="37">
        <f t="shared" si="0"/>
        <v>93.939393939393938</v>
      </c>
      <c r="M360" s="36">
        <v>3</v>
      </c>
      <c r="N360" s="38">
        <f t="shared" si="1"/>
        <v>9.0909090909090917</v>
      </c>
      <c r="O360" s="36">
        <v>3</v>
      </c>
      <c r="P360" s="38">
        <f t="shared" si="2"/>
        <v>100</v>
      </c>
      <c r="Q360" s="88" t="s">
        <v>63</v>
      </c>
      <c r="R360" s="88" t="str">
        <f t="shared" si="3"/>
        <v>X</v>
      </c>
      <c r="S360" s="32"/>
      <c r="T360" s="34" t="str">
        <f>IF('PL1(Full)'!$N360&gt;=20,"x",IF(AND('PL1(Full)'!$N360&gt;=15,'PL1(Full)'!$P360&gt;60),"x",""))</f>
        <v/>
      </c>
      <c r="U360" s="34" t="str">
        <f>IF(AND('PL1(Full)'!$H360="Thôn",'PL1(Full)'!$I360&lt;75),"x",IF(AND('PL1(Full)'!$H360="Tổ",'PL1(Full)'!$I360&lt;100),"x","-"))</f>
        <v>x</v>
      </c>
      <c r="V360" s="34" t="str">
        <f>IF(AND('PL1(Full)'!$H360="Thôn",'PL1(Full)'!$I360&lt;140),"x",IF(AND('PL1(Full)'!$H360="Tổ",'PL1(Full)'!$I360&lt;210),"x","-"))</f>
        <v>x</v>
      </c>
      <c r="W360" s="40" t="str">
        <f t="shared" si="81"/>
        <v>Loại 3</v>
      </c>
      <c r="X360" s="34"/>
    </row>
    <row r="361" spans="1:24" ht="15.75" customHeight="1">
      <c r="A361" s="30">
        <f>_xlfn.AGGREGATE(4,7,A$6:A360)+1</f>
        <v>255</v>
      </c>
      <c r="B361" s="66" t="str">
        <f t="shared" si="80"/>
        <v>H. Chợ Đồn</v>
      </c>
      <c r="C361" s="31" t="str">
        <f t="shared" si="83"/>
        <v>X. Bằng Lãng</v>
      </c>
      <c r="D361" s="34"/>
      <c r="E361" s="34" t="s">
        <v>36</v>
      </c>
      <c r="F361" s="31" t="s">
        <v>449</v>
      </c>
      <c r="G361" s="34"/>
      <c r="H361" s="34" t="str">
        <f>IF(LEFT('PL1(Full)'!$F361,4)="Thôn","Thôn","Tổ")</f>
        <v>Thôn</v>
      </c>
      <c r="I361" s="36">
        <v>24</v>
      </c>
      <c r="J361" s="36">
        <v>95</v>
      </c>
      <c r="K361" s="36">
        <v>22</v>
      </c>
      <c r="L361" s="37">
        <f t="shared" si="0"/>
        <v>91.666666666666671</v>
      </c>
      <c r="M361" s="36">
        <v>0</v>
      </c>
      <c r="N361" s="38">
        <f t="shared" si="1"/>
        <v>0</v>
      </c>
      <c r="O361" s="36">
        <v>0</v>
      </c>
      <c r="P361" s="38">
        <f t="shared" si="2"/>
        <v>0</v>
      </c>
      <c r="Q361" s="88" t="s">
        <v>63</v>
      </c>
      <c r="R361" s="88" t="str">
        <f t="shared" si="3"/>
        <v>X</v>
      </c>
      <c r="S361" s="32"/>
      <c r="T361" s="34" t="str">
        <f>IF('PL1(Full)'!$N361&gt;=20,"x",IF(AND('PL1(Full)'!$N361&gt;=15,'PL1(Full)'!$P361&gt;60),"x",""))</f>
        <v/>
      </c>
      <c r="U361" s="34" t="str">
        <f>IF(AND('PL1(Full)'!$H361="Thôn",'PL1(Full)'!$I361&lt;75),"x",IF(AND('PL1(Full)'!$H361="Tổ",'PL1(Full)'!$I361&lt;100),"x","-"))</f>
        <v>x</v>
      </c>
      <c r="V361" s="34" t="str">
        <f>IF(AND('PL1(Full)'!$H361="Thôn",'PL1(Full)'!$I361&lt;140),"x",IF(AND('PL1(Full)'!$H361="Tổ",'PL1(Full)'!$I361&lt;210),"x","-"))</f>
        <v>x</v>
      </c>
      <c r="W361" s="40" t="str">
        <f t="shared" si="81"/>
        <v>Loại 3</v>
      </c>
      <c r="X361" s="34"/>
    </row>
    <row r="362" spans="1:24" ht="15.75" hidden="1" customHeight="1">
      <c r="A362" s="30">
        <f>_xlfn.AGGREGATE(4,7,A$6:A361)+1</f>
        <v>256</v>
      </c>
      <c r="B362" s="66" t="str">
        <f t="shared" si="80"/>
        <v>H. Chợ Đồn</v>
      </c>
      <c r="C362" s="31" t="str">
        <f t="shared" si="83"/>
        <v>X. Bằng Lãng</v>
      </c>
      <c r="D362" s="34"/>
      <c r="E362" s="34" t="s">
        <v>36</v>
      </c>
      <c r="F362" s="31" t="s">
        <v>450</v>
      </c>
      <c r="G362" s="34"/>
      <c r="H362" s="34" t="str">
        <f>IF(LEFT('PL1(Full)'!$F362,4)="Thôn","Thôn","Tổ")</f>
        <v>Thôn</v>
      </c>
      <c r="I362" s="36">
        <v>83</v>
      </c>
      <c r="J362" s="36">
        <v>322</v>
      </c>
      <c r="K362" s="36">
        <v>77</v>
      </c>
      <c r="L362" s="37">
        <f t="shared" si="0"/>
        <v>92.771084337349393</v>
      </c>
      <c r="M362" s="36">
        <v>2</v>
      </c>
      <c r="N362" s="38">
        <f t="shared" si="1"/>
        <v>2.4096385542168677</v>
      </c>
      <c r="O362" s="36">
        <v>2</v>
      </c>
      <c r="P362" s="38">
        <f t="shared" si="2"/>
        <v>100</v>
      </c>
      <c r="Q362" s="88" t="s">
        <v>56</v>
      </c>
      <c r="R362" s="88" t="str">
        <f t="shared" si="3"/>
        <v>X</v>
      </c>
      <c r="S362" s="32"/>
      <c r="T362" s="34" t="str">
        <f>IF('PL1(Full)'!$N362&gt;=20,"x",IF(AND('PL1(Full)'!$N362&gt;=15,'PL1(Full)'!$P362&gt;60),"x",""))</f>
        <v/>
      </c>
      <c r="U362" s="34" t="str">
        <f>IF(AND('PL1(Full)'!$H362="Thôn",'PL1(Full)'!$I362&lt;75),"x",IF(AND('PL1(Full)'!$H362="Tổ",'PL1(Full)'!$I362&lt;100),"x","-"))</f>
        <v>-</v>
      </c>
      <c r="V362" s="34" t="str">
        <f>IF(AND('PL1(Full)'!$H362="Thôn",'PL1(Full)'!$I362&lt;140),"x",IF(AND('PL1(Full)'!$H362="Tổ",'PL1(Full)'!$I362&lt;210),"x","-"))</f>
        <v>x</v>
      </c>
      <c r="W362" s="40" t="str">
        <f t="shared" si="81"/>
        <v>Loại 3</v>
      </c>
      <c r="X362" s="34"/>
    </row>
    <row r="363" spans="1:24" ht="15.75" customHeight="1">
      <c r="A363" s="30">
        <f>_xlfn.AGGREGATE(4,7,A$6:A362)+1</f>
        <v>256</v>
      </c>
      <c r="B363" s="66" t="str">
        <f t="shared" si="80"/>
        <v>H. Chợ Đồn</v>
      </c>
      <c r="C363" s="31" t="str">
        <f t="shared" si="83"/>
        <v>X. Bằng Lãng</v>
      </c>
      <c r="D363" s="34"/>
      <c r="E363" s="34" t="s">
        <v>36</v>
      </c>
      <c r="F363" s="31" t="s">
        <v>451</v>
      </c>
      <c r="G363" s="34"/>
      <c r="H363" s="34" t="str">
        <f>IF(LEFT('PL1(Full)'!$F363,4)="Thôn","Thôn","Tổ")</f>
        <v>Thôn</v>
      </c>
      <c r="I363" s="36">
        <v>34</v>
      </c>
      <c r="J363" s="36">
        <v>152</v>
      </c>
      <c r="K363" s="36">
        <v>26</v>
      </c>
      <c r="L363" s="37">
        <f t="shared" si="0"/>
        <v>76.470588235294116</v>
      </c>
      <c r="M363" s="36">
        <v>1</v>
      </c>
      <c r="N363" s="38">
        <f t="shared" si="1"/>
        <v>2.9411764705882355</v>
      </c>
      <c r="O363" s="36">
        <v>1</v>
      </c>
      <c r="P363" s="38">
        <f t="shared" si="2"/>
        <v>100</v>
      </c>
      <c r="Q363" s="88" t="s">
        <v>63</v>
      </c>
      <c r="R363" s="88" t="str">
        <f t="shared" si="3"/>
        <v>X</v>
      </c>
      <c r="S363" s="32"/>
      <c r="T363" s="34"/>
      <c r="U363" s="34" t="str">
        <f>IF(AND('PL1(Full)'!$H363="Thôn",'PL1(Full)'!$I363&lt;75),"x",IF(AND('PL1(Full)'!$H363="Tổ",'PL1(Full)'!$I363&lt;100),"x","-"))</f>
        <v>x</v>
      </c>
      <c r="V363" s="34" t="str">
        <f>IF(AND('PL1(Full)'!$H363="Thôn",'PL1(Full)'!$I363&lt;140),"x",IF(AND('PL1(Full)'!$H363="Tổ",'PL1(Full)'!$I363&lt;210),"x","-"))</f>
        <v>x</v>
      </c>
      <c r="W363" s="40" t="str">
        <f t="shared" si="81"/>
        <v>Loại 3</v>
      </c>
      <c r="X363" s="34"/>
    </row>
    <row r="364" spans="1:24" ht="15.75" customHeight="1">
      <c r="A364" s="30">
        <f>_xlfn.AGGREGATE(4,7,A$6:A363)+1</f>
        <v>257</v>
      </c>
      <c r="B364" s="66" t="str">
        <f t="shared" si="80"/>
        <v>H. Chợ Đồn</v>
      </c>
      <c r="C364" s="31" t="str">
        <f t="shared" si="83"/>
        <v>X. Bằng Lãng</v>
      </c>
      <c r="D364" s="34"/>
      <c r="E364" s="34" t="s">
        <v>36</v>
      </c>
      <c r="F364" s="31" t="s">
        <v>452</v>
      </c>
      <c r="G364" s="34"/>
      <c r="H364" s="34" t="str">
        <f>IF(LEFT('PL1(Full)'!$F364,4)="Thôn","Thôn","Tổ")</f>
        <v>Thôn</v>
      </c>
      <c r="I364" s="36">
        <v>28</v>
      </c>
      <c r="J364" s="36">
        <v>123</v>
      </c>
      <c r="K364" s="36">
        <v>24</v>
      </c>
      <c r="L364" s="37">
        <f t="shared" si="0"/>
        <v>85.714285714285708</v>
      </c>
      <c r="M364" s="36">
        <v>4</v>
      </c>
      <c r="N364" s="38">
        <f t="shared" si="1"/>
        <v>14.285714285714286</v>
      </c>
      <c r="O364" s="36">
        <v>4</v>
      </c>
      <c r="P364" s="38">
        <f t="shared" si="2"/>
        <v>100</v>
      </c>
      <c r="Q364" s="88" t="s">
        <v>63</v>
      </c>
      <c r="R364" s="88" t="str">
        <f t="shared" si="3"/>
        <v>X</v>
      </c>
      <c r="S364" s="32"/>
      <c r="T364" s="34" t="str">
        <f>IF('PL1(Full)'!$N364&gt;=20,"x",IF(AND('PL1(Full)'!$N364&gt;=15,'PL1(Full)'!$P364&gt;60),"x",""))</f>
        <v/>
      </c>
      <c r="U364" s="34" t="str">
        <f>IF(AND('PL1(Full)'!$H364="Thôn",'PL1(Full)'!$I364&lt;75),"x",IF(AND('PL1(Full)'!$H364="Tổ",'PL1(Full)'!$I364&lt;100),"x","-"))</f>
        <v>x</v>
      </c>
      <c r="V364" s="34" t="str">
        <f>IF(AND('PL1(Full)'!$H364="Thôn",'PL1(Full)'!$I364&lt;140),"x",IF(AND('PL1(Full)'!$H364="Tổ",'PL1(Full)'!$I364&lt;210),"x","-"))</f>
        <v>x</v>
      </c>
      <c r="W364" s="40" t="str">
        <f t="shared" si="81"/>
        <v>Loại 3</v>
      </c>
      <c r="X364" s="34"/>
    </row>
    <row r="365" spans="1:24" ht="15.75" customHeight="1">
      <c r="A365" s="30">
        <f>_xlfn.AGGREGATE(4,7,A$6:A364)+1</f>
        <v>258</v>
      </c>
      <c r="B365" s="66" t="str">
        <f t="shared" si="80"/>
        <v>H. Chợ Đồn</v>
      </c>
      <c r="C365" s="31" t="str">
        <f t="shared" si="83"/>
        <v>X. Bằng Lãng</v>
      </c>
      <c r="D365" s="34"/>
      <c r="E365" s="34" t="s">
        <v>36</v>
      </c>
      <c r="F365" s="31" t="s">
        <v>453</v>
      </c>
      <c r="G365" s="34"/>
      <c r="H365" s="34" t="str">
        <f>IF(LEFT('PL1(Full)'!$F365,4)="Thôn","Thôn","Tổ")</f>
        <v>Thôn</v>
      </c>
      <c r="I365" s="36">
        <v>24</v>
      </c>
      <c r="J365" s="36">
        <v>98</v>
      </c>
      <c r="K365" s="36">
        <v>24</v>
      </c>
      <c r="L365" s="37">
        <f t="shared" si="0"/>
        <v>100</v>
      </c>
      <c r="M365" s="36">
        <v>1</v>
      </c>
      <c r="N365" s="38">
        <f t="shared" si="1"/>
        <v>4.166666666666667</v>
      </c>
      <c r="O365" s="36">
        <v>1</v>
      </c>
      <c r="P365" s="38">
        <f t="shared" si="2"/>
        <v>100</v>
      </c>
      <c r="Q365" s="88" t="s">
        <v>49</v>
      </c>
      <c r="R365" s="88" t="str">
        <f t="shared" si="3"/>
        <v>X</v>
      </c>
      <c r="S365" s="32"/>
      <c r="T365" s="34" t="str">
        <f>IF('PL1(Full)'!$N365&gt;=20,"x",IF(AND('PL1(Full)'!$N365&gt;=15,'PL1(Full)'!$P365&gt;60),"x",""))</f>
        <v/>
      </c>
      <c r="U365" s="34" t="str">
        <f>IF(AND('PL1(Full)'!$H365="Thôn",'PL1(Full)'!$I365&lt;75),"x",IF(AND('PL1(Full)'!$H365="Tổ",'PL1(Full)'!$I365&lt;100),"x","-"))</f>
        <v>x</v>
      </c>
      <c r="V365" s="34" t="str">
        <f>IF(AND('PL1(Full)'!$H365="Thôn",'PL1(Full)'!$I365&lt;140),"x",IF(AND('PL1(Full)'!$H365="Tổ",'PL1(Full)'!$I365&lt;210),"x","-"))</f>
        <v>x</v>
      </c>
      <c r="W365" s="40" t="str">
        <f t="shared" si="81"/>
        <v>Loại 3</v>
      </c>
      <c r="X365" s="34"/>
    </row>
    <row r="366" spans="1:24" ht="15.75" customHeight="1">
      <c r="A366" s="30">
        <f>_xlfn.AGGREGATE(4,7,A$6:A365)+1</f>
        <v>259</v>
      </c>
      <c r="B366" s="66" t="str">
        <f t="shared" si="80"/>
        <v>H. Chợ Đồn</v>
      </c>
      <c r="C366" s="31" t="str">
        <f t="shared" si="83"/>
        <v>X. Bằng Lãng</v>
      </c>
      <c r="D366" s="34"/>
      <c r="E366" s="34" t="s">
        <v>36</v>
      </c>
      <c r="F366" s="31" t="s">
        <v>454</v>
      </c>
      <c r="G366" s="34"/>
      <c r="H366" s="34" t="str">
        <f>IF(LEFT('PL1(Full)'!$F366,4)="Thôn","Thôn","Tổ")</f>
        <v>Thôn</v>
      </c>
      <c r="I366" s="36">
        <v>44</v>
      </c>
      <c r="J366" s="36">
        <v>198</v>
      </c>
      <c r="K366" s="36">
        <v>44</v>
      </c>
      <c r="L366" s="37">
        <f t="shared" si="0"/>
        <v>100</v>
      </c>
      <c r="M366" s="36">
        <v>0</v>
      </c>
      <c r="N366" s="38">
        <f t="shared" si="1"/>
        <v>0</v>
      </c>
      <c r="O366" s="36">
        <v>0</v>
      </c>
      <c r="P366" s="38">
        <f t="shared" si="2"/>
        <v>0</v>
      </c>
      <c r="Q366" s="88" t="s">
        <v>63</v>
      </c>
      <c r="R366" s="88" t="str">
        <f t="shared" si="3"/>
        <v>X</v>
      </c>
      <c r="S366" s="32"/>
      <c r="T366" s="34"/>
      <c r="U366" s="34" t="str">
        <f>IF(AND('PL1(Full)'!$H366="Thôn",'PL1(Full)'!$I366&lt;75),"x",IF(AND('PL1(Full)'!$H366="Tổ",'PL1(Full)'!$I366&lt;100),"x","-"))</f>
        <v>x</v>
      </c>
      <c r="V366" s="34" t="str">
        <f>IF(AND('PL1(Full)'!$H366="Thôn",'PL1(Full)'!$I366&lt;140),"x",IF(AND('PL1(Full)'!$H366="Tổ",'PL1(Full)'!$I366&lt;210),"x","-"))</f>
        <v>x</v>
      </c>
      <c r="W366" s="40" t="str">
        <f t="shared" si="81"/>
        <v>Loại 3</v>
      </c>
      <c r="X366" s="34"/>
    </row>
    <row r="367" spans="1:24" ht="15.75" hidden="1" customHeight="1">
      <c r="A367" s="41">
        <f>_xlfn.AGGREGATE(4,7,A$6:A366)+1</f>
        <v>260</v>
      </c>
      <c r="B367" s="67" t="str">
        <f t="shared" si="80"/>
        <v>H. Chợ Đồn</v>
      </c>
      <c r="C367" s="42" t="str">
        <f t="shared" si="83"/>
        <v>X. Bằng Lãng</v>
      </c>
      <c r="D367" s="50"/>
      <c r="E367" s="50" t="s">
        <v>36</v>
      </c>
      <c r="F367" s="42" t="s">
        <v>455</v>
      </c>
      <c r="G367" s="50"/>
      <c r="H367" s="50" t="str">
        <f>IF(LEFT('PL1(Full)'!$F367,4)="Thôn","Thôn","Tổ")</f>
        <v>Thôn</v>
      </c>
      <c r="I367" s="46">
        <v>80</v>
      </c>
      <c r="J367" s="46">
        <v>328</v>
      </c>
      <c r="K367" s="46">
        <v>79</v>
      </c>
      <c r="L367" s="47">
        <f t="shared" si="0"/>
        <v>98.75</v>
      </c>
      <c r="M367" s="46">
        <v>1</v>
      </c>
      <c r="N367" s="48">
        <f t="shared" si="1"/>
        <v>1.25</v>
      </c>
      <c r="O367" s="46">
        <v>1</v>
      </c>
      <c r="P367" s="48">
        <f t="shared" si="2"/>
        <v>100</v>
      </c>
      <c r="Q367" s="89" t="s">
        <v>56</v>
      </c>
      <c r="R367" s="89" t="str">
        <f t="shared" si="3"/>
        <v>X</v>
      </c>
      <c r="S367" s="43"/>
      <c r="T367" s="50"/>
      <c r="U367" s="50" t="str">
        <f>IF(AND('PL1(Full)'!$H367="Thôn",'PL1(Full)'!$I367&lt;75),"x",IF(AND('PL1(Full)'!$H367="Tổ",'PL1(Full)'!$I367&lt;100),"x","-"))</f>
        <v>-</v>
      </c>
      <c r="V367" s="34" t="str">
        <f>IF(AND('PL1(Full)'!$H367="Thôn",'PL1(Full)'!$I367&lt;140),"x",IF(AND('PL1(Full)'!$H367="Tổ",'PL1(Full)'!$I367&lt;210),"x","-"))</f>
        <v>x</v>
      </c>
      <c r="W367" s="51" t="str">
        <f t="shared" si="81"/>
        <v>Loại 3</v>
      </c>
      <c r="X367" s="50"/>
    </row>
    <row r="368" spans="1:24" ht="15.75" customHeight="1">
      <c r="A368" s="52">
        <f>_xlfn.AGGREGATE(4,7,A$6:A367)+1</f>
        <v>260</v>
      </c>
      <c r="B368" s="65" t="str">
        <f t="shared" si="80"/>
        <v>H. Chợ Đồn</v>
      </c>
      <c r="C368" s="14" t="s">
        <v>456</v>
      </c>
      <c r="D368" s="25" t="s">
        <v>58</v>
      </c>
      <c r="E368" s="25" t="s">
        <v>58</v>
      </c>
      <c r="F368" s="14" t="s">
        <v>457</v>
      </c>
      <c r="G368" s="25"/>
      <c r="H368" s="25" t="str">
        <f>IF(LEFT('PL1(Full)'!$F368,4)="Thôn","Thôn","Tổ")</f>
        <v>Thôn</v>
      </c>
      <c r="I368" s="20">
        <v>65</v>
      </c>
      <c r="J368" s="20">
        <v>286</v>
      </c>
      <c r="K368" s="20">
        <v>65</v>
      </c>
      <c r="L368" s="21">
        <f t="shared" si="0"/>
        <v>100</v>
      </c>
      <c r="M368" s="20">
        <v>12</v>
      </c>
      <c r="N368" s="22">
        <f t="shared" si="1"/>
        <v>18.46153846153846</v>
      </c>
      <c r="O368" s="20">
        <v>12</v>
      </c>
      <c r="P368" s="22">
        <f t="shared" si="2"/>
        <v>100</v>
      </c>
      <c r="Q368" s="87" t="s">
        <v>82</v>
      </c>
      <c r="R368" s="87" t="str">
        <f t="shared" si="3"/>
        <v>X</v>
      </c>
      <c r="S368" s="18" t="s">
        <v>60</v>
      </c>
      <c r="T368" s="26" t="str">
        <f>IF('PL1(Full)'!$N368&gt;=20,"x",IF(AND('PL1(Full)'!$N368&gt;=15,'PL1(Full)'!$P368&gt;60),"x",""))</f>
        <v>x</v>
      </c>
      <c r="U368" s="27" t="str">
        <f>IF(AND('PL1(Full)'!$H368="Thôn",'PL1(Full)'!$I368&lt;75),"x",IF(AND('PL1(Full)'!$H368="Tổ",'PL1(Full)'!$I368&lt;100),"x","-"))</f>
        <v>x</v>
      </c>
      <c r="V368" s="28" t="str">
        <f>IF(AND('PL1(Full)'!$H368="Thôn",'PL1(Full)'!$I368&lt;140),"x",IF(AND('PL1(Full)'!$H368="Tổ",'PL1(Full)'!$I368&lt;210),"x","-"))</f>
        <v>x</v>
      </c>
      <c r="W368" s="29" t="str">
        <f t="shared" si="81"/>
        <v>Loại 3</v>
      </c>
      <c r="X368" s="25"/>
    </row>
    <row r="369" spans="1:24" ht="15.75" hidden="1" customHeight="1">
      <c r="A369" s="30">
        <f>_xlfn.AGGREGATE(4,7,A$6:A368)+1</f>
        <v>261</v>
      </c>
      <c r="B369" s="66" t="str">
        <f t="shared" si="80"/>
        <v>H. Chợ Đồn</v>
      </c>
      <c r="C369" s="31" t="str">
        <f t="shared" ref="C369:C376" si="84">C368</f>
        <v>X. Bằng Phúc</v>
      </c>
      <c r="D369" s="34"/>
      <c r="E369" s="34" t="s">
        <v>58</v>
      </c>
      <c r="F369" s="31" t="s">
        <v>458</v>
      </c>
      <c r="G369" s="34"/>
      <c r="H369" s="34" t="str">
        <f>IF(LEFT('PL1(Full)'!$F369,4)="Thôn","Thôn","Tổ")</f>
        <v>Thôn</v>
      </c>
      <c r="I369" s="36">
        <v>116</v>
      </c>
      <c r="J369" s="36">
        <v>470</v>
      </c>
      <c r="K369" s="36">
        <v>115</v>
      </c>
      <c r="L369" s="37">
        <f t="shared" si="0"/>
        <v>99.137931034482762</v>
      </c>
      <c r="M369" s="36">
        <v>16</v>
      </c>
      <c r="N369" s="38">
        <f t="shared" si="1"/>
        <v>13.793103448275861</v>
      </c>
      <c r="O369" s="36">
        <v>16</v>
      </c>
      <c r="P369" s="38">
        <f t="shared" si="2"/>
        <v>100</v>
      </c>
      <c r="Q369" s="88" t="s">
        <v>47</v>
      </c>
      <c r="R369" s="88" t="str">
        <f t="shared" si="3"/>
        <v>X</v>
      </c>
      <c r="S369" s="32" t="s">
        <v>60</v>
      </c>
      <c r="T369" s="34" t="str">
        <f>IF('PL1(Full)'!$N369&gt;=20,"x",IF(AND('PL1(Full)'!$N369&gt;=15,'PL1(Full)'!$P369&gt;60),"x",""))</f>
        <v/>
      </c>
      <c r="U369" s="34" t="str">
        <f>IF(AND('PL1(Full)'!$H369="Thôn",'PL1(Full)'!$I369&lt;75),"x",IF(AND('PL1(Full)'!$H369="Tổ",'PL1(Full)'!$I369&lt;100),"x","-"))</f>
        <v>-</v>
      </c>
      <c r="V369" s="34" t="str">
        <f>IF(AND('PL1(Full)'!$H369="Thôn",'PL1(Full)'!$I369&lt;140),"x",IF(AND('PL1(Full)'!$H369="Tổ",'PL1(Full)'!$I369&lt;210),"x","-"))</f>
        <v>x</v>
      </c>
      <c r="W369" s="40" t="str">
        <f t="shared" si="81"/>
        <v>Loại 2</v>
      </c>
      <c r="X369" s="34"/>
    </row>
    <row r="370" spans="1:24" ht="15.75" customHeight="1">
      <c r="A370" s="30">
        <f>_xlfn.AGGREGATE(4,7,A$6:A369)+1</f>
        <v>261</v>
      </c>
      <c r="B370" s="66" t="str">
        <f t="shared" si="80"/>
        <v>H. Chợ Đồn</v>
      </c>
      <c r="C370" s="31" t="str">
        <f t="shared" si="84"/>
        <v>X. Bằng Phúc</v>
      </c>
      <c r="D370" s="34"/>
      <c r="E370" s="34" t="s">
        <v>58</v>
      </c>
      <c r="F370" s="31" t="s">
        <v>127</v>
      </c>
      <c r="G370" s="34"/>
      <c r="H370" s="34" t="str">
        <f>IF(LEFT('PL1(Full)'!$F370,4)="Thôn","Thôn","Tổ")</f>
        <v>Thôn</v>
      </c>
      <c r="I370" s="36">
        <v>38</v>
      </c>
      <c r="J370" s="36">
        <v>154</v>
      </c>
      <c r="K370" s="36">
        <v>38</v>
      </c>
      <c r="L370" s="37">
        <f t="shared" si="0"/>
        <v>100</v>
      </c>
      <c r="M370" s="36">
        <v>3</v>
      </c>
      <c r="N370" s="38">
        <f t="shared" si="1"/>
        <v>7.8947368421052628</v>
      </c>
      <c r="O370" s="36">
        <v>3</v>
      </c>
      <c r="P370" s="38">
        <f t="shared" si="2"/>
        <v>100</v>
      </c>
      <c r="Q370" s="88" t="s">
        <v>82</v>
      </c>
      <c r="R370" s="88" t="str">
        <f t="shared" si="3"/>
        <v>X</v>
      </c>
      <c r="S370" s="32" t="s">
        <v>60</v>
      </c>
      <c r="T370" s="34" t="str">
        <f>IF('PL1(Full)'!$N370&gt;=20,"x",IF(AND('PL1(Full)'!$N370&gt;=15,'PL1(Full)'!$P370&gt;60),"x",""))</f>
        <v/>
      </c>
      <c r="U370" s="34" t="str">
        <f>IF(AND('PL1(Full)'!$H370="Thôn",'PL1(Full)'!$I370&lt;75),"x",IF(AND('PL1(Full)'!$H370="Tổ",'PL1(Full)'!$I370&lt;100),"x","-"))</f>
        <v>x</v>
      </c>
      <c r="V370" s="34" t="str">
        <f>IF(AND('PL1(Full)'!$H370="Thôn",'PL1(Full)'!$I370&lt;140),"x",IF(AND('PL1(Full)'!$H370="Tổ",'PL1(Full)'!$I370&lt;210),"x","-"))</f>
        <v>x</v>
      </c>
      <c r="W370" s="40" t="str">
        <f t="shared" si="81"/>
        <v>Loại 3</v>
      </c>
      <c r="X370" s="34"/>
    </row>
    <row r="371" spans="1:24" ht="15.75" customHeight="1">
      <c r="A371" s="30">
        <f>_xlfn.AGGREGATE(4,7,A$6:A370)+1</f>
        <v>262</v>
      </c>
      <c r="B371" s="66" t="str">
        <f t="shared" si="80"/>
        <v>H. Chợ Đồn</v>
      </c>
      <c r="C371" s="31" t="str">
        <f t="shared" si="84"/>
        <v>X. Bằng Phúc</v>
      </c>
      <c r="D371" s="34"/>
      <c r="E371" s="34" t="s">
        <v>58</v>
      </c>
      <c r="F371" s="31" t="s">
        <v>459</v>
      </c>
      <c r="G371" s="34"/>
      <c r="H371" s="34" t="str">
        <f>IF(LEFT('PL1(Full)'!$F371,4)="Thôn","Thôn","Tổ")</f>
        <v>Thôn</v>
      </c>
      <c r="I371" s="36">
        <v>56</v>
      </c>
      <c r="J371" s="36">
        <v>237</v>
      </c>
      <c r="K371" s="36">
        <v>56</v>
      </c>
      <c r="L371" s="37">
        <f t="shared" si="0"/>
        <v>100</v>
      </c>
      <c r="M371" s="36">
        <v>0</v>
      </c>
      <c r="N371" s="38">
        <f t="shared" si="1"/>
        <v>0</v>
      </c>
      <c r="O371" s="36">
        <v>0</v>
      </c>
      <c r="P371" s="38">
        <f t="shared" si="2"/>
        <v>0</v>
      </c>
      <c r="Q371" s="88" t="s">
        <v>56</v>
      </c>
      <c r="R371" s="88" t="str">
        <f t="shared" si="3"/>
        <v>X</v>
      </c>
      <c r="S371" s="32"/>
      <c r="T371" s="34" t="str">
        <f>IF('PL1(Full)'!$N371&gt;=20,"x",IF(AND('PL1(Full)'!$N371&gt;=15,'PL1(Full)'!$P371&gt;60),"x",""))</f>
        <v/>
      </c>
      <c r="U371" s="34" t="str">
        <f>IF(AND('PL1(Full)'!$H371="Thôn",'PL1(Full)'!$I371&lt;75),"x",IF(AND('PL1(Full)'!$H371="Tổ",'PL1(Full)'!$I371&lt;100),"x","-"))</f>
        <v>x</v>
      </c>
      <c r="V371" s="34" t="str">
        <f>IF(AND('PL1(Full)'!$H371="Thôn",'PL1(Full)'!$I371&lt;140),"x",IF(AND('PL1(Full)'!$H371="Tổ",'PL1(Full)'!$I371&lt;210),"x","-"))</f>
        <v>x</v>
      </c>
      <c r="W371" s="40" t="str">
        <f t="shared" si="81"/>
        <v>Loại 3</v>
      </c>
      <c r="X371" s="34"/>
    </row>
    <row r="372" spans="1:24" ht="15.75" customHeight="1">
      <c r="A372" s="30">
        <f>_xlfn.AGGREGATE(4,7,A$6:A371)+1</f>
        <v>263</v>
      </c>
      <c r="B372" s="66" t="str">
        <f t="shared" si="80"/>
        <v>H. Chợ Đồn</v>
      </c>
      <c r="C372" s="31" t="str">
        <f t="shared" si="84"/>
        <v>X. Bằng Phúc</v>
      </c>
      <c r="D372" s="34"/>
      <c r="E372" s="34" t="s">
        <v>58</v>
      </c>
      <c r="F372" s="31" t="s">
        <v>460</v>
      </c>
      <c r="G372" s="34"/>
      <c r="H372" s="34" t="str">
        <f>IF(LEFT('PL1(Full)'!$F372,4)="Thôn","Thôn","Tổ")</f>
        <v>Thôn</v>
      </c>
      <c r="I372" s="36">
        <v>49</v>
      </c>
      <c r="J372" s="36">
        <v>227</v>
      </c>
      <c r="K372" s="36">
        <v>49</v>
      </c>
      <c r="L372" s="37">
        <f t="shared" si="0"/>
        <v>100</v>
      </c>
      <c r="M372" s="36">
        <v>3</v>
      </c>
      <c r="N372" s="38">
        <f t="shared" si="1"/>
        <v>6.1224489795918364</v>
      </c>
      <c r="O372" s="36">
        <v>3</v>
      </c>
      <c r="P372" s="38">
        <f t="shared" si="2"/>
        <v>100</v>
      </c>
      <c r="Q372" s="88" t="s">
        <v>56</v>
      </c>
      <c r="R372" s="88" t="str">
        <f t="shared" si="3"/>
        <v>X</v>
      </c>
      <c r="S372" s="32" t="s">
        <v>60</v>
      </c>
      <c r="T372" s="34" t="str">
        <f>IF('PL1(Full)'!$N372&gt;=20,"x",IF(AND('PL1(Full)'!$N372&gt;=15,'PL1(Full)'!$P372&gt;60),"x",""))</f>
        <v/>
      </c>
      <c r="U372" s="34" t="str">
        <f>IF(AND('PL1(Full)'!$H372="Thôn",'PL1(Full)'!$I372&lt;75),"x",IF(AND('PL1(Full)'!$H372="Tổ",'PL1(Full)'!$I372&lt;100),"x","-"))</f>
        <v>x</v>
      </c>
      <c r="V372" s="34" t="str">
        <f>IF(AND('PL1(Full)'!$H372="Thôn",'PL1(Full)'!$I372&lt;140),"x",IF(AND('PL1(Full)'!$H372="Tổ",'PL1(Full)'!$I372&lt;210),"x","-"))</f>
        <v>x</v>
      </c>
      <c r="W372" s="40" t="str">
        <f t="shared" si="81"/>
        <v>Loại 3</v>
      </c>
      <c r="X372" s="34"/>
    </row>
    <row r="373" spans="1:24" ht="15.75" hidden="1" customHeight="1">
      <c r="A373" s="30">
        <f>_xlfn.AGGREGATE(4,7,A$6:A372)+1</f>
        <v>264</v>
      </c>
      <c r="B373" s="66" t="str">
        <f t="shared" si="80"/>
        <v>H. Chợ Đồn</v>
      </c>
      <c r="C373" s="31" t="str">
        <f t="shared" si="84"/>
        <v>X. Bằng Phúc</v>
      </c>
      <c r="D373" s="34"/>
      <c r="E373" s="34" t="s">
        <v>58</v>
      </c>
      <c r="F373" s="31" t="s">
        <v>461</v>
      </c>
      <c r="G373" s="34"/>
      <c r="H373" s="34" t="str">
        <f>IF(LEFT('PL1(Full)'!$F373,4)="Thôn","Thôn","Tổ")</f>
        <v>Thôn</v>
      </c>
      <c r="I373" s="36">
        <v>76</v>
      </c>
      <c r="J373" s="36">
        <v>307</v>
      </c>
      <c r="K373" s="36">
        <v>76</v>
      </c>
      <c r="L373" s="37">
        <f t="shared" si="0"/>
        <v>100</v>
      </c>
      <c r="M373" s="36">
        <v>6</v>
      </c>
      <c r="N373" s="38">
        <f t="shared" si="1"/>
        <v>7.8947368421052628</v>
      </c>
      <c r="O373" s="36">
        <v>6</v>
      </c>
      <c r="P373" s="38">
        <f t="shared" si="2"/>
        <v>100</v>
      </c>
      <c r="Q373" s="88" t="s">
        <v>56</v>
      </c>
      <c r="R373" s="88" t="str">
        <f t="shared" si="3"/>
        <v>X</v>
      </c>
      <c r="S373" s="32" t="s">
        <v>60</v>
      </c>
      <c r="T373" s="34" t="str">
        <f>IF('PL1(Full)'!$N373&gt;=20,"x",IF(AND('PL1(Full)'!$N373&gt;=15,'PL1(Full)'!$P373&gt;60),"x",""))</f>
        <v/>
      </c>
      <c r="U373" s="34" t="str">
        <f>IF(AND('PL1(Full)'!$H373="Thôn",'PL1(Full)'!$I373&lt;75),"x",IF(AND('PL1(Full)'!$H373="Tổ",'PL1(Full)'!$I373&lt;100),"x","-"))</f>
        <v>-</v>
      </c>
      <c r="V373" s="34" t="str">
        <f>IF(AND('PL1(Full)'!$H373="Thôn",'PL1(Full)'!$I373&lt;140),"x",IF(AND('PL1(Full)'!$H373="Tổ",'PL1(Full)'!$I373&lt;210),"x","-"))</f>
        <v>x</v>
      </c>
      <c r="W373" s="40" t="str">
        <f t="shared" si="81"/>
        <v>Loại 3</v>
      </c>
      <c r="X373" s="34"/>
    </row>
    <row r="374" spans="1:24" ht="15.75" customHeight="1">
      <c r="A374" s="30">
        <f>_xlfn.AGGREGATE(4,7,A$6:A373)+1</f>
        <v>264</v>
      </c>
      <c r="B374" s="66" t="str">
        <f t="shared" si="80"/>
        <v>H. Chợ Đồn</v>
      </c>
      <c r="C374" s="31" t="str">
        <f t="shared" si="84"/>
        <v>X. Bằng Phúc</v>
      </c>
      <c r="D374" s="34"/>
      <c r="E374" s="34" t="s">
        <v>58</v>
      </c>
      <c r="F374" s="31" t="s">
        <v>462</v>
      </c>
      <c r="G374" s="34"/>
      <c r="H374" s="34" t="str">
        <f>IF(LEFT('PL1(Full)'!$F374,4)="Thôn","Thôn","Tổ")</f>
        <v>Thôn</v>
      </c>
      <c r="I374" s="36">
        <v>65</v>
      </c>
      <c r="J374" s="36">
        <v>287</v>
      </c>
      <c r="K374" s="36">
        <v>65</v>
      </c>
      <c r="L374" s="37">
        <f t="shared" si="0"/>
        <v>100</v>
      </c>
      <c r="M374" s="36">
        <v>8</v>
      </c>
      <c r="N374" s="38">
        <f t="shared" si="1"/>
        <v>12.307692307692308</v>
      </c>
      <c r="O374" s="36">
        <v>8</v>
      </c>
      <c r="P374" s="38">
        <f t="shared" si="2"/>
        <v>100</v>
      </c>
      <c r="Q374" s="88" t="s">
        <v>56</v>
      </c>
      <c r="R374" s="88" t="str">
        <f t="shared" si="3"/>
        <v>X</v>
      </c>
      <c r="S374" s="32" t="s">
        <v>60</v>
      </c>
      <c r="T374" s="34" t="str">
        <f>IF('PL1(Full)'!$N374&gt;=20,"x",IF(AND('PL1(Full)'!$N374&gt;=15,'PL1(Full)'!$P374&gt;60),"x",""))</f>
        <v/>
      </c>
      <c r="U374" s="34" t="str">
        <f>IF(AND('PL1(Full)'!$H374="Thôn",'PL1(Full)'!$I374&lt;75),"x",IF(AND('PL1(Full)'!$H374="Tổ",'PL1(Full)'!$I374&lt;100),"x","-"))</f>
        <v>x</v>
      </c>
      <c r="V374" s="34" t="str">
        <f>IF(AND('PL1(Full)'!$H374="Thôn",'PL1(Full)'!$I374&lt;140),"x",IF(AND('PL1(Full)'!$H374="Tổ",'PL1(Full)'!$I374&lt;210),"x","-"))</f>
        <v>x</v>
      </c>
      <c r="W374" s="40" t="str">
        <f t="shared" si="81"/>
        <v>Loại 3</v>
      </c>
      <c r="X374" s="34"/>
    </row>
    <row r="375" spans="1:24" ht="15.75" hidden="1" customHeight="1">
      <c r="A375" s="30">
        <f>_xlfn.AGGREGATE(4,7,A$6:A374)+1</f>
        <v>265</v>
      </c>
      <c r="B375" s="66" t="str">
        <f t="shared" si="80"/>
        <v>H. Chợ Đồn</v>
      </c>
      <c r="C375" s="31" t="str">
        <f t="shared" si="84"/>
        <v>X. Bằng Phúc</v>
      </c>
      <c r="D375" s="34"/>
      <c r="E375" s="34" t="s">
        <v>58</v>
      </c>
      <c r="F375" s="31" t="s">
        <v>257</v>
      </c>
      <c r="G375" s="34"/>
      <c r="H375" s="34" t="str">
        <f>IF(LEFT('PL1(Full)'!$F375,4)="Thôn","Thôn","Tổ")</f>
        <v>Thôn</v>
      </c>
      <c r="I375" s="36">
        <v>101</v>
      </c>
      <c r="J375" s="36">
        <v>453</v>
      </c>
      <c r="K375" s="36">
        <v>101</v>
      </c>
      <c r="L375" s="37">
        <f t="shared" si="0"/>
        <v>100</v>
      </c>
      <c r="M375" s="36">
        <v>10</v>
      </c>
      <c r="N375" s="38">
        <f t="shared" si="1"/>
        <v>9.9009900990099009</v>
      </c>
      <c r="O375" s="36">
        <v>10</v>
      </c>
      <c r="P375" s="38">
        <f t="shared" si="2"/>
        <v>100</v>
      </c>
      <c r="Q375" s="88" t="s">
        <v>47</v>
      </c>
      <c r="R375" s="88" t="str">
        <f t="shared" si="3"/>
        <v>X</v>
      </c>
      <c r="S375" s="32"/>
      <c r="T375" s="34" t="str">
        <f>IF('PL1(Full)'!$N375&gt;=20,"x",IF(AND('PL1(Full)'!$N375&gt;=15,'PL1(Full)'!$P375&gt;60),"x",""))</f>
        <v/>
      </c>
      <c r="U375" s="34" t="str">
        <f>IF(AND('PL1(Full)'!$H375="Thôn",'PL1(Full)'!$I375&lt;75),"x",IF(AND('PL1(Full)'!$H375="Tổ",'PL1(Full)'!$I375&lt;100),"x","-"))</f>
        <v>-</v>
      </c>
      <c r="V375" s="34" t="str">
        <f>IF(AND('PL1(Full)'!$H375="Thôn",'PL1(Full)'!$I375&lt;140),"x",IF(AND('PL1(Full)'!$H375="Tổ",'PL1(Full)'!$I375&lt;210),"x","-"))</f>
        <v>x</v>
      </c>
      <c r="W375" s="40" t="str">
        <f t="shared" si="81"/>
        <v>Loại 2</v>
      </c>
      <c r="X375" s="34"/>
    </row>
    <row r="376" spans="1:24" ht="15.75" customHeight="1">
      <c r="A376" s="41">
        <f>_xlfn.AGGREGATE(4,7,A$6:A375)+1</f>
        <v>265</v>
      </c>
      <c r="B376" s="67" t="str">
        <f t="shared" si="80"/>
        <v>H. Chợ Đồn</v>
      </c>
      <c r="C376" s="42" t="str">
        <f t="shared" si="84"/>
        <v>X. Bằng Phúc</v>
      </c>
      <c r="D376" s="50"/>
      <c r="E376" s="50" t="s">
        <v>58</v>
      </c>
      <c r="F376" s="42" t="s">
        <v>463</v>
      </c>
      <c r="G376" s="50"/>
      <c r="H376" s="50" t="str">
        <f>IF(LEFT('PL1(Full)'!$F376,4)="Thôn","Thôn","Tổ")</f>
        <v>Thôn</v>
      </c>
      <c r="I376" s="46">
        <v>58</v>
      </c>
      <c r="J376" s="46">
        <v>274</v>
      </c>
      <c r="K376" s="46">
        <v>58</v>
      </c>
      <c r="L376" s="47">
        <f t="shared" si="0"/>
        <v>100</v>
      </c>
      <c r="M376" s="46">
        <v>10</v>
      </c>
      <c r="N376" s="48">
        <f t="shared" si="1"/>
        <v>17.241379310344829</v>
      </c>
      <c r="O376" s="46">
        <v>10</v>
      </c>
      <c r="P376" s="48">
        <f t="shared" si="2"/>
        <v>100</v>
      </c>
      <c r="Q376" s="89" t="s">
        <v>82</v>
      </c>
      <c r="R376" s="89" t="str">
        <f t="shared" si="3"/>
        <v>X</v>
      </c>
      <c r="S376" s="43" t="s">
        <v>60</v>
      </c>
      <c r="T376" s="50" t="str">
        <f>IF('PL1(Full)'!$N376&gt;=20,"x",IF(AND('PL1(Full)'!$N376&gt;=15,'PL1(Full)'!$P376&gt;60),"x",""))</f>
        <v>x</v>
      </c>
      <c r="U376" s="50" t="str">
        <f>IF(AND('PL1(Full)'!$H376="Thôn",'PL1(Full)'!$I376&lt;75),"x",IF(AND('PL1(Full)'!$H376="Tổ",'PL1(Full)'!$I376&lt;100),"x","-"))</f>
        <v>x</v>
      </c>
      <c r="V376" s="34" t="str">
        <f>IF(AND('PL1(Full)'!$H376="Thôn",'PL1(Full)'!$I376&lt;140),"x",IF(AND('PL1(Full)'!$H376="Tổ",'PL1(Full)'!$I376&lt;210),"x","-"))</f>
        <v>x</v>
      </c>
      <c r="W376" s="51" t="str">
        <f t="shared" si="81"/>
        <v>Loại 3</v>
      </c>
      <c r="X376" s="50"/>
    </row>
    <row r="377" spans="1:24" ht="15.75" customHeight="1">
      <c r="A377" s="52">
        <f>_xlfn.AGGREGATE(4,7,A$6:A376)+1</f>
        <v>266</v>
      </c>
      <c r="B377" s="65" t="str">
        <f t="shared" si="80"/>
        <v>H. Chợ Đồn</v>
      </c>
      <c r="C377" s="14" t="s">
        <v>464</v>
      </c>
      <c r="D377" s="25" t="s">
        <v>58</v>
      </c>
      <c r="E377" s="25" t="s">
        <v>58</v>
      </c>
      <c r="F377" s="14" t="s">
        <v>465</v>
      </c>
      <c r="G377" s="25"/>
      <c r="H377" s="25" t="str">
        <f>IF(LEFT('PL1(Full)'!$F377,4)="Thôn","Thôn","Tổ")</f>
        <v>Thôn</v>
      </c>
      <c r="I377" s="20">
        <v>71</v>
      </c>
      <c r="J377" s="20">
        <v>293</v>
      </c>
      <c r="K377" s="20">
        <v>71</v>
      </c>
      <c r="L377" s="21">
        <f t="shared" si="0"/>
        <v>100</v>
      </c>
      <c r="M377" s="20">
        <v>14</v>
      </c>
      <c r="N377" s="22">
        <f t="shared" si="1"/>
        <v>19.718309859154928</v>
      </c>
      <c r="O377" s="20">
        <v>16</v>
      </c>
      <c r="P377" s="22">
        <f t="shared" si="2"/>
        <v>114.28571428571429</v>
      </c>
      <c r="Q377" s="87" t="s">
        <v>43</v>
      </c>
      <c r="R377" s="87" t="str">
        <f t="shared" si="3"/>
        <v>X</v>
      </c>
      <c r="S377" s="18" t="s">
        <v>60</v>
      </c>
      <c r="T377" s="26" t="str">
        <f>IF('PL1(Full)'!$N377&gt;=20,"x",IF(AND('PL1(Full)'!$N377&gt;=15,'PL1(Full)'!$P377&gt;60),"x",""))</f>
        <v>x</v>
      </c>
      <c r="U377" s="27" t="str">
        <f>IF(AND('PL1(Full)'!$H377="Thôn",'PL1(Full)'!$I377&lt;75),"x",IF(AND('PL1(Full)'!$H377="Tổ",'PL1(Full)'!$I377&lt;100),"x","-"))</f>
        <v>x</v>
      </c>
      <c r="V377" s="28" t="str">
        <f>IF(AND('PL1(Full)'!$H377="Thôn",'PL1(Full)'!$I377&lt;140),"x",IF(AND('PL1(Full)'!$H377="Tổ",'PL1(Full)'!$I377&lt;210),"x","-"))</f>
        <v>x</v>
      </c>
      <c r="W377" s="29" t="str">
        <f t="shared" si="81"/>
        <v>Loại 3</v>
      </c>
      <c r="X377" s="25"/>
    </row>
    <row r="378" spans="1:24" ht="15.75" customHeight="1">
      <c r="A378" s="30">
        <f>_xlfn.AGGREGATE(4,7,A$6:A377)+1</f>
        <v>267</v>
      </c>
      <c r="B378" s="66" t="str">
        <f t="shared" si="80"/>
        <v>H. Chợ Đồn</v>
      </c>
      <c r="C378" s="31" t="str">
        <f t="shared" ref="C378:C391" si="85">C377</f>
        <v>X. Bình Trung</v>
      </c>
      <c r="D378" s="34"/>
      <c r="E378" s="34" t="s">
        <v>58</v>
      </c>
      <c r="F378" s="31" t="s">
        <v>466</v>
      </c>
      <c r="G378" s="34"/>
      <c r="H378" s="34" t="str">
        <f>IF(LEFT('PL1(Full)'!$F378,4)="Thôn","Thôn","Tổ")</f>
        <v>Thôn</v>
      </c>
      <c r="I378" s="36">
        <v>58</v>
      </c>
      <c r="J378" s="36">
        <v>258</v>
      </c>
      <c r="K378" s="36">
        <v>56</v>
      </c>
      <c r="L378" s="37">
        <f t="shared" si="0"/>
        <v>96.551724137931032</v>
      </c>
      <c r="M378" s="36">
        <v>7</v>
      </c>
      <c r="N378" s="38">
        <f t="shared" si="1"/>
        <v>12.068965517241379</v>
      </c>
      <c r="O378" s="36">
        <v>8</v>
      </c>
      <c r="P378" s="38">
        <f t="shared" si="2"/>
        <v>114.28571428571429</v>
      </c>
      <c r="Q378" s="88" t="s">
        <v>82</v>
      </c>
      <c r="R378" s="88" t="str">
        <f t="shared" si="3"/>
        <v>X</v>
      </c>
      <c r="S378" s="32"/>
      <c r="T378" s="34" t="str">
        <f>IF('PL1(Full)'!$N378&gt;=20,"x",IF(AND('PL1(Full)'!$N378&gt;=15,'PL1(Full)'!$P378&gt;60),"x",""))</f>
        <v/>
      </c>
      <c r="U378" s="34" t="str">
        <f>IF(AND('PL1(Full)'!$H378="Thôn",'PL1(Full)'!$I378&lt;75),"x",IF(AND('PL1(Full)'!$H378="Tổ",'PL1(Full)'!$I378&lt;100),"x","-"))</f>
        <v>x</v>
      </c>
      <c r="V378" s="34" t="str">
        <f>IF(AND('PL1(Full)'!$H378="Thôn",'PL1(Full)'!$I378&lt;140),"x",IF(AND('PL1(Full)'!$H378="Tổ",'PL1(Full)'!$I378&lt;210),"x","-"))</f>
        <v>x</v>
      </c>
      <c r="W378" s="40" t="str">
        <f t="shared" si="81"/>
        <v>Loại 3</v>
      </c>
      <c r="X378" s="34"/>
    </row>
    <row r="379" spans="1:24" ht="15.75" customHeight="1">
      <c r="A379" s="30">
        <f>_xlfn.AGGREGATE(4,7,A$6:A378)+1</f>
        <v>268</v>
      </c>
      <c r="B379" s="66" t="str">
        <f t="shared" si="80"/>
        <v>H. Chợ Đồn</v>
      </c>
      <c r="C379" s="31" t="str">
        <f t="shared" si="85"/>
        <v>X. Bình Trung</v>
      </c>
      <c r="D379" s="34"/>
      <c r="E379" s="34" t="s">
        <v>58</v>
      </c>
      <c r="F379" s="31" t="s">
        <v>467</v>
      </c>
      <c r="G379" s="34"/>
      <c r="H379" s="34" t="str">
        <f>IF(LEFT('PL1(Full)'!$F379,4)="Thôn","Thôn","Tổ")</f>
        <v>Thôn</v>
      </c>
      <c r="I379" s="36">
        <v>55</v>
      </c>
      <c r="J379" s="36">
        <v>199</v>
      </c>
      <c r="K379" s="36">
        <v>55</v>
      </c>
      <c r="L379" s="37">
        <f t="shared" si="0"/>
        <v>100</v>
      </c>
      <c r="M379" s="36">
        <v>36</v>
      </c>
      <c r="N379" s="38">
        <f t="shared" si="1"/>
        <v>65.454545454545453</v>
      </c>
      <c r="O379" s="36">
        <v>38</v>
      </c>
      <c r="P379" s="38">
        <f t="shared" si="2"/>
        <v>105.55555555555556</v>
      </c>
      <c r="Q379" s="88" t="s">
        <v>158</v>
      </c>
      <c r="R379" s="88" t="str">
        <f t="shared" si="3"/>
        <v>X</v>
      </c>
      <c r="S379" s="32" t="s">
        <v>60</v>
      </c>
      <c r="T379" s="34" t="str">
        <f>IF('PL1(Full)'!$N379&gt;=20,"x",IF(AND('PL1(Full)'!$N379&gt;=15,'PL1(Full)'!$P379&gt;60),"x",""))</f>
        <v>x</v>
      </c>
      <c r="U379" s="34" t="str">
        <f>IF(AND('PL1(Full)'!$H379="Thôn",'PL1(Full)'!$I379&lt;75),"x",IF(AND('PL1(Full)'!$H379="Tổ",'PL1(Full)'!$I379&lt;100),"x","-"))</f>
        <v>x</v>
      </c>
      <c r="V379" s="34" t="str">
        <f>IF(AND('PL1(Full)'!$H379="Thôn",'PL1(Full)'!$I379&lt;140),"x",IF(AND('PL1(Full)'!$H379="Tổ",'PL1(Full)'!$I379&lt;210),"x","-"))</f>
        <v>x</v>
      </c>
      <c r="W379" s="40" t="str">
        <f t="shared" si="81"/>
        <v>Loại 3</v>
      </c>
      <c r="X379" s="34"/>
    </row>
    <row r="380" spans="1:24" ht="15.75" customHeight="1">
      <c r="A380" s="30">
        <f>_xlfn.AGGREGATE(4,7,A$6:A379)+1</f>
        <v>269</v>
      </c>
      <c r="B380" s="66" t="str">
        <f t="shared" si="80"/>
        <v>H. Chợ Đồn</v>
      </c>
      <c r="C380" s="31" t="str">
        <f t="shared" si="85"/>
        <v>X. Bình Trung</v>
      </c>
      <c r="D380" s="34"/>
      <c r="E380" s="34" t="s">
        <v>58</v>
      </c>
      <c r="F380" s="31" t="s">
        <v>468</v>
      </c>
      <c r="G380" s="34"/>
      <c r="H380" s="34" t="str">
        <f>IF(LEFT('PL1(Full)'!$F380,4)="Thôn","Thôn","Tổ")</f>
        <v>Thôn</v>
      </c>
      <c r="I380" s="36">
        <v>40</v>
      </c>
      <c r="J380" s="36">
        <v>155</v>
      </c>
      <c r="K380" s="36">
        <v>38</v>
      </c>
      <c r="L380" s="37">
        <f t="shared" si="0"/>
        <v>95</v>
      </c>
      <c r="M380" s="36">
        <v>3</v>
      </c>
      <c r="N380" s="38">
        <f t="shared" si="1"/>
        <v>7.5</v>
      </c>
      <c r="O380" s="36">
        <v>6</v>
      </c>
      <c r="P380" s="38">
        <f t="shared" si="2"/>
        <v>200</v>
      </c>
      <c r="Q380" s="88" t="s">
        <v>56</v>
      </c>
      <c r="R380" s="88" t="str">
        <f t="shared" si="3"/>
        <v>X</v>
      </c>
      <c r="S380" s="32"/>
      <c r="T380" s="34" t="str">
        <f>IF('PL1(Full)'!$N380&gt;=20,"x",IF(AND('PL1(Full)'!$N380&gt;=15,'PL1(Full)'!$P380&gt;60),"x",""))</f>
        <v/>
      </c>
      <c r="U380" s="34" t="str">
        <f>IF(AND('PL1(Full)'!$H380="Thôn",'PL1(Full)'!$I380&lt;75),"x",IF(AND('PL1(Full)'!$H380="Tổ",'PL1(Full)'!$I380&lt;100),"x","-"))</f>
        <v>x</v>
      </c>
      <c r="V380" s="34" t="str">
        <f>IF(AND('PL1(Full)'!$H380="Thôn",'PL1(Full)'!$I380&lt;140),"x",IF(AND('PL1(Full)'!$H380="Tổ",'PL1(Full)'!$I380&lt;210),"x","-"))</f>
        <v>x</v>
      </c>
      <c r="W380" s="40" t="str">
        <f t="shared" si="81"/>
        <v>Loại 3</v>
      </c>
      <c r="X380" s="34"/>
    </row>
    <row r="381" spans="1:24" ht="15.75" customHeight="1">
      <c r="A381" s="30">
        <f>_xlfn.AGGREGATE(4,7,A$6:A380)+1</f>
        <v>270</v>
      </c>
      <c r="B381" s="66" t="str">
        <f t="shared" si="80"/>
        <v>H. Chợ Đồn</v>
      </c>
      <c r="C381" s="31" t="str">
        <f t="shared" si="85"/>
        <v>X. Bình Trung</v>
      </c>
      <c r="D381" s="34"/>
      <c r="E381" s="34" t="s">
        <v>58</v>
      </c>
      <c r="F381" s="31" t="s">
        <v>469</v>
      </c>
      <c r="G381" s="34"/>
      <c r="H381" s="34" t="str">
        <f>IF(LEFT('PL1(Full)'!$F381,4)="Thôn","Thôn","Tổ")</f>
        <v>Thôn</v>
      </c>
      <c r="I381" s="36">
        <v>49</v>
      </c>
      <c r="J381" s="36">
        <v>238</v>
      </c>
      <c r="K381" s="36">
        <v>49</v>
      </c>
      <c r="L381" s="37">
        <f t="shared" si="0"/>
        <v>100</v>
      </c>
      <c r="M381" s="36">
        <v>4</v>
      </c>
      <c r="N381" s="38">
        <f t="shared" si="1"/>
        <v>8.1632653061224492</v>
      </c>
      <c r="O381" s="36">
        <v>5</v>
      </c>
      <c r="P381" s="38">
        <f t="shared" si="2"/>
        <v>125</v>
      </c>
      <c r="Q381" s="88" t="s">
        <v>56</v>
      </c>
      <c r="R381" s="88" t="str">
        <f t="shared" si="3"/>
        <v>X</v>
      </c>
      <c r="S381" s="32"/>
      <c r="T381" s="34" t="str">
        <f>IF('PL1(Full)'!$N381&gt;=20,"x",IF(AND('PL1(Full)'!$N381&gt;=15,'PL1(Full)'!$P381&gt;60),"x",""))</f>
        <v/>
      </c>
      <c r="U381" s="34" t="str">
        <f>IF(AND('PL1(Full)'!$H381="Thôn",'PL1(Full)'!$I381&lt;75),"x",IF(AND('PL1(Full)'!$H381="Tổ",'PL1(Full)'!$I381&lt;100),"x","-"))</f>
        <v>x</v>
      </c>
      <c r="V381" s="34" t="str">
        <f>IF(AND('PL1(Full)'!$H381="Thôn",'PL1(Full)'!$I381&lt;140),"x",IF(AND('PL1(Full)'!$H381="Tổ",'PL1(Full)'!$I381&lt;210),"x","-"))</f>
        <v>x</v>
      </c>
      <c r="W381" s="40" t="str">
        <f t="shared" si="81"/>
        <v>Loại 3</v>
      </c>
      <c r="X381" s="34"/>
    </row>
    <row r="382" spans="1:24" ht="15.75" customHeight="1">
      <c r="A382" s="30">
        <f>_xlfn.AGGREGATE(4,7,A$6:A381)+1</f>
        <v>271</v>
      </c>
      <c r="B382" s="66" t="str">
        <f t="shared" si="80"/>
        <v>H. Chợ Đồn</v>
      </c>
      <c r="C382" s="31" t="str">
        <f t="shared" si="85"/>
        <v>X. Bình Trung</v>
      </c>
      <c r="D382" s="34"/>
      <c r="E382" s="34" t="s">
        <v>58</v>
      </c>
      <c r="F382" s="31" t="s">
        <v>470</v>
      </c>
      <c r="G382" s="34"/>
      <c r="H382" s="34" t="str">
        <f>IF(LEFT('PL1(Full)'!$F382,4)="Thôn","Thôn","Tổ")</f>
        <v>Thôn</v>
      </c>
      <c r="I382" s="36">
        <v>23</v>
      </c>
      <c r="J382" s="36">
        <v>86</v>
      </c>
      <c r="K382" s="36">
        <v>23</v>
      </c>
      <c r="L382" s="37">
        <f t="shared" si="0"/>
        <v>100</v>
      </c>
      <c r="M382" s="36">
        <v>1</v>
      </c>
      <c r="N382" s="38">
        <f t="shared" si="1"/>
        <v>4.3478260869565215</v>
      </c>
      <c r="O382" s="36">
        <v>2</v>
      </c>
      <c r="P382" s="38">
        <f t="shared" si="2"/>
        <v>200</v>
      </c>
      <c r="Q382" s="88" t="s">
        <v>63</v>
      </c>
      <c r="R382" s="88" t="str">
        <f t="shared" si="3"/>
        <v>X</v>
      </c>
      <c r="S382" s="32"/>
      <c r="T382" s="34" t="str">
        <f>IF('PL1(Full)'!$N382&gt;=20,"x",IF(AND('PL1(Full)'!$N382&gt;=15,'PL1(Full)'!$P382&gt;60),"x",""))</f>
        <v/>
      </c>
      <c r="U382" s="34" t="str">
        <f>IF(AND('PL1(Full)'!$H382="Thôn",'PL1(Full)'!$I382&lt;75),"x",IF(AND('PL1(Full)'!$H382="Tổ",'PL1(Full)'!$I382&lt;100),"x","-"))</f>
        <v>x</v>
      </c>
      <c r="V382" s="34" t="str">
        <f>IF(AND('PL1(Full)'!$H382="Thôn",'PL1(Full)'!$I382&lt;140),"x",IF(AND('PL1(Full)'!$H382="Tổ",'PL1(Full)'!$I382&lt;210),"x","-"))</f>
        <v>x</v>
      </c>
      <c r="W382" s="40" t="str">
        <f t="shared" si="81"/>
        <v>Loại 3</v>
      </c>
      <c r="X382" s="34"/>
    </row>
    <row r="383" spans="1:24" ht="15.75" hidden="1" customHeight="1">
      <c r="A383" s="30">
        <f>_xlfn.AGGREGATE(4,7,A$6:A382)+1</f>
        <v>272</v>
      </c>
      <c r="B383" s="66" t="str">
        <f t="shared" si="80"/>
        <v>H. Chợ Đồn</v>
      </c>
      <c r="C383" s="31" t="str">
        <f t="shared" si="85"/>
        <v>X. Bình Trung</v>
      </c>
      <c r="D383" s="34"/>
      <c r="E383" s="34" t="s">
        <v>58</v>
      </c>
      <c r="F383" s="31" t="s">
        <v>471</v>
      </c>
      <c r="G383" s="34"/>
      <c r="H383" s="34" t="str">
        <f>IF(LEFT('PL1(Full)'!$F383,4)="Thôn","Thôn","Tổ")</f>
        <v>Thôn</v>
      </c>
      <c r="I383" s="36">
        <v>78</v>
      </c>
      <c r="J383" s="36">
        <v>368</v>
      </c>
      <c r="K383" s="36">
        <v>78</v>
      </c>
      <c r="L383" s="37">
        <f t="shared" si="0"/>
        <v>100</v>
      </c>
      <c r="M383" s="36">
        <v>72</v>
      </c>
      <c r="N383" s="38">
        <f t="shared" si="1"/>
        <v>92.307692307692307</v>
      </c>
      <c r="O383" s="36">
        <v>77</v>
      </c>
      <c r="P383" s="38">
        <f t="shared" si="2"/>
        <v>106.94444444444444</v>
      </c>
      <c r="Q383" s="88" t="s">
        <v>49</v>
      </c>
      <c r="R383" s="88" t="str">
        <f t="shared" si="3"/>
        <v>X</v>
      </c>
      <c r="S383" s="32" t="s">
        <v>60</v>
      </c>
      <c r="T383" s="34" t="str">
        <f>IF('PL1(Full)'!$N383&gt;=20,"x",IF(AND('PL1(Full)'!$N383&gt;=15,'PL1(Full)'!$P383&gt;60),"x",""))</f>
        <v>x</v>
      </c>
      <c r="U383" s="34" t="str">
        <f>IF(AND('PL1(Full)'!$H383="Thôn",'PL1(Full)'!$I383&lt;75),"x",IF(AND('PL1(Full)'!$H383="Tổ",'PL1(Full)'!$I383&lt;100),"x","-"))</f>
        <v>-</v>
      </c>
      <c r="V383" s="34" t="str">
        <f>IF(AND('PL1(Full)'!$H383="Thôn",'PL1(Full)'!$I383&lt;140),"x",IF(AND('PL1(Full)'!$H383="Tổ",'PL1(Full)'!$I383&lt;210),"x","-"))</f>
        <v>x</v>
      </c>
      <c r="W383" s="40" t="str">
        <f t="shared" si="81"/>
        <v>Loại 3</v>
      </c>
      <c r="X383" s="34"/>
    </row>
    <row r="384" spans="1:24" ht="15.75" customHeight="1">
      <c r="A384" s="30">
        <f>_xlfn.AGGREGATE(4,7,A$6:A383)+1</f>
        <v>272</v>
      </c>
      <c r="B384" s="66" t="str">
        <f t="shared" si="80"/>
        <v>H. Chợ Đồn</v>
      </c>
      <c r="C384" s="31" t="str">
        <f t="shared" si="85"/>
        <v>X. Bình Trung</v>
      </c>
      <c r="D384" s="34"/>
      <c r="E384" s="34" t="s">
        <v>58</v>
      </c>
      <c r="F384" s="31" t="s">
        <v>472</v>
      </c>
      <c r="G384" s="34"/>
      <c r="H384" s="34" t="str">
        <f>IF(LEFT('PL1(Full)'!$F384,4)="Thôn","Thôn","Tổ")</f>
        <v>Thôn</v>
      </c>
      <c r="I384" s="36">
        <v>51</v>
      </c>
      <c r="J384" s="36">
        <v>210</v>
      </c>
      <c r="K384" s="36">
        <v>51</v>
      </c>
      <c r="L384" s="37">
        <f t="shared" si="0"/>
        <v>100</v>
      </c>
      <c r="M384" s="36">
        <v>7</v>
      </c>
      <c r="N384" s="38">
        <f t="shared" si="1"/>
        <v>13.725490196078431</v>
      </c>
      <c r="O384" s="36">
        <v>10</v>
      </c>
      <c r="P384" s="38">
        <f t="shared" si="2"/>
        <v>142.85714285714286</v>
      </c>
      <c r="Q384" s="88" t="s">
        <v>82</v>
      </c>
      <c r="R384" s="88" t="str">
        <f t="shared" si="3"/>
        <v>X</v>
      </c>
      <c r="S384" s="32"/>
      <c r="T384" s="34" t="str">
        <f>IF('PL1(Full)'!$N384&gt;=20,"x",IF(AND('PL1(Full)'!$N384&gt;=15,'PL1(Full)'!$P384&gt;60),"x",""))</f>
        <v/>
      </c>
      <c r="U384" s="34" t="str">
        <f>IF(AND('PL1(Full)'!$H384="Thôn",'PL1(Full)'!$I384&lt;75),"x",IF(AND('PL1(Full)'!$H384="Tổ",'PL1(Full)'!$I384&lt;100),"x","-"))</f>
        <v>x</v>
      </c>
      <c r="V384" s="34" t="str">
        <f>IF(AND('PL1(Full)'!$H384="Thôn",'PL1(Full)'!$I384&lt;140),"x",IF(AND('PL1(Full)'!$H384="Tổ",'PL1(Full)'!$I384&lt;210),"x","-"))</f>
        <v>x</v>
      </c>
      <c r="W384" s="40" t="str">
        <f t="shared" si="81"/>
        <v>Loại 3</v>
      </c>
      <c r="X384" s="34"/>
    </row>
    <row r="385" spans="1:24" ht="15.75" customHeight="1">
      <c r="A385" s="30">
        <f>_xlfn.AGGREGATE(4,7,A$6:A384)+1</f>
        <v>273</v>
      </c>
      <c r="B385" s="66" t="str">
        <f t="shared" si="80"/>
        <v>H. Chợ Đồn</v>
      </c>
      <c r="C385" s="31" t="str">
        <f t="shared" si="85"/>
        <v>X. Bình Trung</v>
      </c>
      <c r="D385" s="34"/>
      <c r="E385" s="34" t="s">
        <v>58</v>
      </c>
      <c r="F385" s="31" t="s">
        <v>96</v>
      </c>
      <c r="G385" s="34"/>
      <c r="H385" s="34" t="str">
        <f>IF(LEFT('PL1(Full)'!$F385,4)="Thôn","Thôn","Tổ")</f>
        <v>Thôn</v>
      </c>
      <c r="I385" s="36">
        <v>41</v>
      </c>
      <c r="J385" s="36">
        <v>177</v>
      </c>
      <c r="K385" s="36">
        <v>39</v>
      </c>
      <c r="L385" s="37">
        <f t="shared" si="0"/>
        <v>95.121951219512198</v>
      </c>
      <c r="M385" s="36">
        <v>4</v>
      </c>
      <c r="N385" s="38">
        <f t="shared" si="1"/>
        <v>9.7560975609756095</v>
      </c>
      <c r="O385" s="36">
        <v>6</v>
      </c>
      <c r="P385" s="38">
        <f t="shared" si="2"/>
        <v>150</v>
      </c>
      <c r="Q385" s="88" t="s">
        <v>82</v>
      </c>
      <c r="R385" s="88" t="str">
        <f t="shared" si="3"/>
        <v>X</v>
      </c>
      <c r="S385" s="32"/>
      <c r="T385" s="34" t="str">
        <f>IF('PL1(Full)'!$N385&gt;=20,"x",IF(AND('PL1(Full)'!$N385&gt;=15,'PL1(Full)'!$P385&gt;60),"x",""))</f>
        <v/>
      </c>
      <c r="U385" s="34" t="str">
        <f>IF(AND('PL1(Full)'!$H385="Thôn",'PL1(Full)'!$I385&lt;75),"x",IF(AND('PL1(Full)'!$H385="Tổ",'PL1(Full)'!$I385&lt;100),"x","-"))</f>
        <v>x</v>
      </c>
      <c r="V385" s="34" t="str">
        <f>IF(AND('PL1(Full)'!$H385="Thôn",'PL1(Full)'!$I385&lt;140),"x",IF(AND('PL1(Full)'!$H385="Tổ",'PL1(Full)'!$I385&lt;210),"x","-"))</f>
        <v>x</v>
      </c>
      <c r="W385" s="40" t="str">
        <f t="shared" si="81"/>
        <v>Loại 3</v>
      </c>
      <c r="X385" s="34"/>
    </row>
    <row r="386" spans="1:24" ht="15.75" customHeight="1">
      <c r="A386" s="30">
        <f>_xlfn.AGGREGATE(4,7,A$6:A385)+1</f>
        <v>274</v>
      </c>
      <c r="B386" s="66" t="str">
        <f t="shared" si="80"/>
        <v>H. Chợ Đồn</v>
      </c>
      <c r="C386" s="31" t="str">
        <f t="shared" si="85"/>
        <v>X. Bình Trung</v>
      </c>
      <c r="D386" s="34"/>
      <c r="E386" s="34" t="s">
        <v>58</v>
      </c>
      <c r="F386" s="31" t="s">
        <v>473</v>
      </c>
      <c r="G386" s="34"/>
      <c r="H386" s="34" t="str">
        <f>IF(LEFT('PL1(Full)'!$F386,4)="Thôn","Thôn","Tổ")</f>
        <v>Thôn</v>
      </c>
      <c r="I386" s="36">
        <v>53</v>
      </c>
      <c r="J386" s="36">
        <v>238</v>
      </c>
      <c r="K386" s="36">
        <v>52</v>
      </c>
      <c r="L386" s="37">
        <f t="shared" si="0"/>
        <v>98.113207547169807</v>
      </c>
      <c r="M386" s="36">
        <v>8</v>
      </c>
      <c r="N386" s="38">
        <f t="shared" si="1"/>
        <v>15.09433962264151</v>
      </c>
      <c r="O386" s="36">
        <v>10</v>
      </c>
      <c r="P386" s="38">
        <f t="shared" si="2"/>
        <v>125</v>
      </c>
      <c r="Q386" s="88" t="s">
        <v>82</v>
      </c>
      <c r="R386" s="88" t="str">
        <f t="shared" si="3"/>
        <v>X</v>
      </c>
      <c r="S386" s="32" t="s">
        <v>60</v>
      </c>
      <c r="T386" s="34" t="str">
        <f>IF('PL1(Full)'!$N386&gt;=20,"x",IF(AND('PL1(Full)'!$N386&gt;=15,'PL1(Full)'!$P386&gt;60),"x",""))</f>
        <v>x</v>
      </c>
      <c r="U386" s="34" t="str">
        <f>IF(AND('PL1(Full)'!$H386="Thôn",'PL1(Full)'!$I386&lt;75),"x",IF(AND('PL1(Full)'!$H386="Tổ",'PL1(Full)'!$I386&lt;100),"x","-"))</f>
        <v>x</v>
      </c>
      <c r="V386" s="34" t="str">
        <f>IF(AND('PL1(Full)'!$H386="Thôn",'PL1(Full)'!$I386&lt;140),"x",IF(AND('PL1(Full)'!$H386="Tổ",'PL1(Full)'!$I386&lt;210),"x","-"))</f>
        <v>x</v>
      </c>
      <c r="W386" s="40" t="str">
        <f t="shared" si="81"/>
        <v>Loại 3</v>
      </c>
      <c r="X386" s="34"/>
    </row>
    <row r="387" spans="1:24" ht="15.75" customHeight="1">
      <c r="A387" s="30">
        <f>_xlfn.AGGREGATE(4,7,A$6:A386)+1</f>
        <v>275</v>
      </c>
      <c r="B387" s="66" t="str">
        <f t="shared" si="80"/>
        <v>H. Chợ Đồn</v>
      </c>
      <c r="C387" s="31" t="str">
        <f t="shared" si="85"/>
        <v>X. Bình Trung</v>
      </c>
      <c r="D387" s="34"/>
      <c r="E387" s="34" t="s">
        <v>58</v>
      </c>
      <c r="F387" s="31" t="s">
        <v>474</v>
      </c>
      <c r="G387" s="34"/>
      <c r="H387" s="34" t="str">
        <f>IF(LEFT('PL1(Full)'!$F387,4)="Thôn","Thôn","Tổ")</f>
        <v>Thôn</v>
      </c>
      <c r="I387" s="36">
        <v>37</v>
      </c>
      <c r="J387" s="36">
        <v>145</v>
      </c>
      <c r="K387" s="36">
        <v>36</v>
      </c>
      <c r="L387" s="37">
        <f t="shared" si="0"/>
        <v>97.297297297297291</v>
      </c>
      <c r="M387" s="36">
        <v>8</v>
      </c>
      <c r="N387" s="38">
        <f t="shared" si="1"/>
        <v>21.621621621621621</v>
      </c>
      <c r="O387" s="36">
        <v>10</v>
      </c>
      <c r="P387" s="38">
        <f t="shared" si="2"/>
        <v>125</v>
      </c>
      <c r="Q387" s="88" t="s">
        <v>56</v>
      </c>
      <c r="R387" s="88" t="str">
        <f t="shared" si="3"/>
        <v>X</v>
      </c>
      <c r="S387" s="32" t="s">
        <v>60</v>
      </c>
      <c r="T387" s="34" t="str">
        <f>IF('PL1(Full)'!$N387&gt;=20,"x",IF(AND('PL1(Full)'!$N387&gt;=15,'PL1(Full)'!$P387&gt;60),"x",""))</f>
        <v>x</v>
      </c>
      <c r="U387" s="34" t="str">
        <f>IF(AND('PL1(Full)'!$H387="Thôn",'PL1(Full)'!$I387&lt;75),"x",IF(AND('PL1(Full)'!$H387="Tổ",'PL1(Full)'!$I387&lt;100),"x","-"))</f>
        <v>x</v>
      </c>
      <c r="V387" s="34" t="str">
        <f>IF(AND('PL1(Full)'!$H387="Thôn",'PL1(Full)'!$I387&lt;140),"x",IF(AND('PL1(Full)'!$H387="Tổ",'PL1(Full)'!$I387&lt;210),"x","-"))</f>
        <v>x</v>
      </c>
      <c r="W387" s="40" t="str">
        <f t="shared" si="81"/>
        <v>Loại 3</v>
      </c>
      <c r="X387" s="34"/>
    </row>
    <row r="388" spans="1:24" ht="15.75" customHeight="1">
      <c r="A388" s="30">
        <f>_xlfn.AGGREGATE(4,7,A$6:A387)+1</f>
        <v>276</v>
      </c>
      <c r="B388" s="66" t="str">
        <f t="shared" si="80"/>
        <v>H. Chợ Đồn</v>
      </c>
      <c r="C388" s="31" t="str">
        <f t="shared" si="85"/>
        <v>X. Bình Trung</v>
      </c>
      <c r="D388" s="34"/>
      <c r="E388" s="34" t="s">
        <v>58</v>
      </c>
      <c r="F388" s="31" t="s">
        <v>475</v>
      </c>
      <c r="G388" s="34"/>
      <c r="H388" s="34" t="str">
        <f>IF(LEFT('PL1(Full)'!$F388,4)="Thôn","Thôn","Tổ")</f>
        <v>Thôn</v>
      </c>
      <c r="I388" s="36">
        <v>52</v>
      </c>
      <c r="J388" s="36">
        <v>218</v>
      </c>
      <c r="K388" s="36">
        <v>52</v>
      </c>
      <c r="L388" s="37">
        <f t="shared" si="0"/>
        <v>100</v>
      </c>
      <c r="M388" s="36">
        <v>5</v>
      </c>
      <c r="N388" s="38">
        <f t="shared" si="1"/>
        <v>9.615384615384615</v>
      </c>
      <c r="O388" s="36">
        <v>7</v>
      </c>
      <c r="P388" s="38">
        <f t="shared" si="2"/>
        <v>140</v>
      </c>
      <c r="Q388" s="88" t="s">
        <v>52</v>
      </c>
      <c r="R388" s="88" t="str">
        <f t="shared" si="3"/>
        <v>C</v>
      </c>
      <c r="S388" s="32" t="s">
        <v>60</v>
      </c>
      <c r="T388" s="34" t="str">
        <f>IF('PL1(Full)'!$N388&gt;=20,"x",IF(AND('PL1(Full)'!$N388&gt;=15,'PL1(Full)'!$P388&gt;60),"x",""))</f>
        <v/>
      </c>
      <c r="U388" s="34" t="str">
        <f>IF(AND('PL1(Full)'!$H388="Thôn",'PL1(Full)'!$I388&lt;75),"x",IF(AND('PL1(Full)'!$H388="Tổ",'PL1(Full)'!$I388&lt;100),"x","-"))</f>
        <v>x</v>
      </c>
      <c r="V388" s="34" t="str">
        <f>IF(AND('PL1(Full)'!$H388="Thôn",'PL1(Full)'!$I388&lt;140),"x",IF(AND('PL1(Full)'!$H388="Tổ",'PL1(Full)'!$I388&lt;210),"x","-"))</f>
        <v>x</v>
      </c>
      <c r="W388" s="40" t="str">
        <f t="shared" si="81"/>
        <v>Loại 3</v>
      </c>
      <c r="X388" s="34"/>
    </row>
    <row r="389" spans="1:24" ht="15.75" customHeight="1">
      <c r="A389" s="30">
        <f>_xlfn.AGGREGATE(4,7,A$6:A388)+1</f>
        <v>277</v>
      </c>
      <c r="B389" s="66" t="str">
        <f t="shared" si="80"/>
        <v>H. Chợ Đồn</v>
      </c>
      <c r="C389" s="31" t="str">
        <f t="shared" si="85"/>
        <v>X. Bình Trung</v>
      </c>
      <c r="D389" s="34"/>
      <c r="E389" s="34" t="s">
        <v>58</v>
      </c>
      <c r="F389" s="31" t="s">
        <v>476</v>
      </c>
      <c r="G389" s="34"/>
      <c r="H389" s="34" t="str">
        <f>IF(LEFT('PL1(Full)'!$F389,4)="Thôn","Thôn","Tổ")</f>
        <v>Thôn</v>
      </c>
      <c r="I389" s="36">
        <v>61</v>
      </c>
      <c r="J389" s="36">
        <v>233</v>
      </c>
      <c r="K389" s="36">
        <v>61</v>
      </c>
      <c r="L389" s="37">
        <f t="shared" si="0"/>
        <v>100</v>
      </c>
      <c r="M389" s="36">
        <v>3</v>
      </c>
      <c r="N389" s="38">
        <f t="shared" si="1"/>
        <v>4.918032786885246</v>
      </c>
      <c r="O389" s="36">
        <v>10</v>
      </c>
      <c r="P389" s="38">
        <f t="shared" si="2"/>
        <v>333.33333333333331</v>
      </c>
      <c r="Q389" s="88" t="s">
        <v>56</v>
      </c>
      <c r="R389" s="88" t="str">
        <f t="shared" si="3"/>
        <v>X</v>
      </c>
      <c r="S389" s="32"/>
      <c r="T389" s="34" t="str">
        <f>IF('PL1(Full)'!$N389&gt;=20,"x",IF(AND('PL1(Full)'!$N389&gt;=15,'PL1(Full)'!$P389&gt;60),"x",""))</f>
        <v/>
      </c>
      <c r="U389" s="34" t="str">
        <f>IF(AND('PL1(Full)'!$H389="Thôn",'PL1(Full)'!$I389&lt;75),"x",IF(AND('PL1(Full)'!$H389="Tổ",'PL1(Full)'!$I389&lt;100),"x","-"))</f>
        <v>x</v>
      </c>
      <c r="V389" s="34" t="str">
        <f>IF(AND('PL1(Full)'!$H389="Thôn",'PL1(Full)'!$I389&lt;140),"x",IF(AND('PL1(Full)'!$H389="Tổ",'PL1(Full)'!$I389&lt;210),"x","-"))</f>
        <v>x</v>
      </c>
      <c r="W389" s="40" t="str">
        <f t="shared" si="81"/>
        <v>Loại 3</v>
      </c>
      <c r="X389" s="34"/>
    </row>
    <row r="390" spans="1:24" ht="15.75" hidden="1" customHeight="1">
      <c r="A390" s="30">
        <f>_xlfn.AGGREGATE(4,7,A$6:A389)+1</f>
        <v>278</v>
      </c>
      <c r="B390" s="66" t="str">
        <f t="shared" si="80"/>
        <v>H. Chợ Đồn</v>
      </c>
      <c r="C390" s="31" t="str">
        <f t="shared" si="85"/>
        <v>X. Bình Trung</v>
      </c>
      <c r="D390" s="34"/>
      <c r="E390" s="34" t="s">
        <v>58</v>
      </c>
      <c r="F390" s="31" t="s">
        <v>477</v>
      </c>
      <c r="G390" s="34"/>
      <c r="H390" s="34" t="str">
        <f>IF(LEFT('PL1(Full)'!$F390,4)="Thôn","Thôn","Tổ")</f>
        <v>Thôn</v>
      </c>
      <c r="I390" s="36">
        <v>84</v>
      </c>
      <c r="J390" s="36">
        <v>423</v>
      </c>
      <c r="K390" s="36">
        <v>84</v>
      </c>
      <c r="L390" s="37">
        <f t="shared" si="0"/>
        <v>100</v>
      </c>
      <c r="M390" s="36">
        <v>73</v>
      </c>
      <c r="N390" s="38">
        <f t="shared" si="1"/>
        <v>86.904761904761898</v>
      </c>
      <c r="O390" s="36">
        <v>72</v>
      </c>
      <c r="P390" s="38">
        <f t="shared" si="2"/>
        <v>98.630136986301366</v>
      </c>
      <c r="Q390" s="88" t="s">
        <v>49</v>
      </c>
      <c r="R390" s="88" t="str">
        <f t="shared" si="3"/>
        <v>X</v>
      </c>
      <c r="S390" s="32" t="s">
        <v>60</v>
      </c>
      <c r="T390" s="34" t="str">
        <f>IF('PL1(Full)'!$N390&gt;=20,"x",IF(AND('PL1(Full)'!$N390&gt;=15,'PL1(Full)'!$P390&gt;60),"x",""))</f>
        <v>x</v>
      </c>
      <c r="U390" s="34" t="str">
        <f>IF(AND('PL1(Full)'!$H390="Thôn",'PL1(Full)'!$I390&lt;75),"x",IF(AND('PL1(Full)'!$H390="Tổ",'PL1(Full)'!$I390&lt;100),"x","-"))</f>
        <v>-</v>
      </c>
      <c r="V390" s="34" t="str">
        <f>IF(AND('PL1(Full)'!$H390="Thôn",'PL1(Full)'!$I390&lt;140),"x",IF(AND('PL1(Full)'!$H390="Tổ",'PL1(Full)'!$I390&lt;210),"x","-"))</f>
        <v>x</v>
      </c>
      <c r="W390" s="40" t="str">
        <f t="shared" si="81"/>
        <v>Loại 3</v>
      </c>
      <c r="X390" s="34"/>
    </row>
    <row r="391" spans="1:24" ht="15.75" customHeight="1">
      <c r="A391" s="41">
        <f>_xlfn.AGGREGATE(4,7,A$6:A390)+1</f>
        <v>278</v>
      </c>
      <c r="B391" s="67" t="str">
        <f t="shared" si="80"/>
        <v>H. Chợ Đồn</v>
      </c>
      <c r="C391" s="42" t="str">
        <f t="shared" si="85"/>
        <v>X. Bình Trung</v>
      </c>
      <c r="D391" s="50"/>
      <c r="E391" s="50" t="s">
        <v>58</v>
      </c>
      <c r="F391" s="42" t="s">
        <v>478</v>
      </c>
      <c r="G391" s="50"/>
      <c r="H391" s="50" t="str">
        <f>IF(LEFT('PL1(Full)'!$F391,4)="Thôn","Thôn","Tổ")</f>
        <v>Thôn</v>
      </c>
      <c r="I391" s="46">
        <v>55</v>
      </c>
      <c r="J391" s="46">
        <v>224</v>
      </c>
      <c r="K391" s="46">
        <v>55</v>
      </c>
      <c r="L391" s="47">
        <f t="shared" si="0"/>
        <v>100</v>
      </c>
      <c r="M391" s="46">
        <v>15</v>
      </c>
      <c r="N391" s="48">
        <f t="shared" si="1"/>
        <v>27.272727272727273</v>
      </c>
      <c r="O391" s="46">
        <v>23</v>
      </c>
      <c r="P391" s="48">
        <f t="shared" si="2"/>
        <v>153.33333333333334</v>
      </c>
      <c r="Q391" s="89" t="s">
        <v>52</v>
      </c>
      <c r="R391" s="89" t="str">
        <f t="shared" si="3"/>
        <v>C</v>
      </c>
      <c r="S391" s="43" t="s">
        <v>60</v>
      </c>
      <c r="T391" s="50" t="str">
        <f>IF('PL1(Full)'!$N391&gt;=20,"x",IF(AND('PL1(Full)'!$N391&gt;=15,'PL1(Full)'!$P391&gt;60),"x",""))</f>
        <v>x</v>
      </c>
      <c r="U391" s="50" t="str">
        <f>IF(AND('PL1(Full)'!$H391="Thôn",'PL1(Full)'!$I391&lt;75),"x",IF(AND('PL1(Full)'!$H391="Tổ",'PL1(Full)'!$I391&lt;100),"x","-"))</f>
        <v>x</v>
      </c>
      <c r="V391" s="34" t="str">
        <f>IF(AND('PL1(Full)'!$H391="Thôn",'PL1(Full)'!$I391&lt;140),"x",IF(AND('PL1(Full)'!$H391="Tổ",'PL1(Full)'!$I391&lt;210),"x","-"))</f>
        <v>x</v>
      </c>
      <c r="W391" s="51" t="str">
        <f t="shared" si="81"/>
        <v>Loại 3</v>
      </c>
      <c r="X391" s="50"/>
    </row>
    <row r="392" spans="1:24" ht="15.75" customHeight="1">
      <c r="A392" s="52">
        <f>_xlfn.AGGREGATE(4,7,A$6:A391)+1</f>
        <v>279</v>
      </c>
      <c r="B392" s="65" t="str">
        <f t="shared" si="80"/>
        <v>H. Chợ Đồn</v>
      </c>
      <c r="C392" s="14" t="s">
        <v>479</v>
      </c>
      <c r="D392" s="25" t="s">
        <v>58</v>
      </c>
      <c r="E392" s="25" t="s">
        <v>58</v>
      </c>
      <c r="F392" s="14" t="s">
        <v>480</v>
      </c>
      <c r="G392" s="25"/>
      <c r="H392" s="25" t="str">
        <f>IF(LEFT('PL1(Full)'!$F392,4)="Thôn","Thôn","Tổ")</f>
        <v>Thôn</v>
      </c>
      <c r="I392" s="20">
        <v>72</v>
      </c>
      <c r="J392" s="20">
        <v>271</v>
      </c>
      <c r="K392" s="20">
        <v>71</v>
      </c>
      <c r="L392" s="21">
        <f t="shared" si="0"/>
        <v>98.611111111111114</v>
      </c>
      <c r="M392" s="20">
        <v>14</v>
      </c>
      <c r="N392" s="22">
        <f t="shared" si="1"/>
        <v>19.444444444444443</v>
      </c>
      <c r="O392" s="20">
        <v>14</v>
      </c>
      <c r="P392" s="22">
        <f t="shared" si="2"/>
        <v>100</v>
      </c>
      <c r="Q392" s="87" t="s">
        <v>49</v>
      </c>
      <c r="R392" s="87" t="str">
        <f t="shared" si="3"/>
        <v>X</v>
      </c>
      <c r="S392" s="18" t="s">
        <v>60</v>
      </c>
      <c r="T392" s="26" t="str">
        <f>IF('PL1(Full)'!$N392&gt;=20,"x",IF(AND('PL1(Full)'!$N392&gt;=15,'PL1(Full)'!$P392&gt;60),"x",""))</f>
        <v>x</v>
      </c>
      <c r="U392" s="27" t="str">
        <f>IF(AND('PL1(Full)'!$H392="Thôn",'PL1(Full)'!$I392&lt;75),"x",IF(AND('PL1(Full)'!$H392="Tổ",'PL1(Full)'!$I392&lt;100),"x","-"))</f>
        <v>x</v>
      </c>
      <c r="V392" s="28" t="str">
        <f>IF(AND('PL1(Full)'!$H392="Thôn",'PL1(Full)'!$I392&lt;140),"x",IF(AND('PL1(Full)'!$H392="Tổ",'PL1(Full)'!$I392&lt;210),"x","-"))</f>
        <v>x</v>
      </c>
      <c r="W392" s="29" t="str">
        <f t="shared" si="81"/>
        <v>Loại 3</v>
      </c>
      <c r="X392" s="25"/>
    </row>
    <row r="393" spans="1:24" ht="15.75" hidden="1" customHeight="1">
      <c r="A393" s="30">
        <f>_xlfn.AGGREGATE(4,7,A$6:A392)+1</f>
        <v>280</v>
      </c>
      <c r="B393" s="66" t="str">
        <f t="shared" si="80"/>
        <v>H. Chợ Đồn</v>
      </c>
      <c r="C393" s="31" t="str">
        <f t="shared" ref="C393:C398" si="86">C392</f>
        <v>X. Đại Sảo</v>
      </c>
      <c r="D393" s="34"/>
      <c r="E393" s="34" t="s">
        <v>58</v>
      </c>
      <c r="F393" s="31" t="s">
        <v>481</v>
      </c>
      <c r="G393" s="34"/>
      <c r="H393" s="34" t="str">
        <f>IF(LEFT('PL1(Full)'!$F393,4)="Thôn","Thôn","Tổ")</f>
        <v>Thôn</v>
      </c>
      <c r="I393" s="36">
        <v>76</v>
      </c>
      <c r="J393" s="36">
        <v>328</v>
      </c>
      <c r="K393" s="36">
        <v>75</v>
      </c>
      <c r="L393" s="37">
        <f t="shared" si="0"/>
        <v>98.684210526315795</v>
      </c>
      <c r="M393" s="36">
        <v>12</v>
      </c>
      <c r="N393" s="38">
        <f t="shared" si="1"/>
        <v>15.789473684210526</v>
      </c>
      <c r="O393" s="36">
        <v>11</v>
      </c>
      <c r="P393" s="38">
        <f t="shared" si="2"/>
        <v>91.666666666666671</v>
      </c>
      <c r="Q393" s="88" t="s">
        <v>49</v>
      </c>
      <c r="R393" s="88" t="str">
        <f t="shared" si="3"/>
        <v>X</v>
      </c>
      <c r="S393" s="32" t="s">
        <v>60</v>
      </c>
      <c r="T393" s="34" t="str">
        <f>IF('PL1(Full)'!$N393&gt;=20,"x",IF(AND('PL1(Full)'!$N393&gt;=15,'PL1(Full)'!$P393&gt;60),"x",""))</f>
        <v>x</v>
      </c>
      <c r="U393" s="34" t="str">
        <f>IF(AND('PL1(Full)'!$H393="Thôn",'PL1(Full)'!$I393&lt;75),"x",IF(AND('PL1(Full)'!$H393="Tổ",'PL1(Full)'!$I393&lt;100),"x","-"))</f>
        <v>-</v>
      </c>
      <c r="V393" s="34" t="str">
        <f>IF(AND('PL1(Full)'!$H393="Thôn",'PL1(Full)'!$I393&lt;140),"x",IF(AND('PL1(Full)'!$H393="Tổ",'PL1(Full)'!$I393&lt;210),"x","-"))</f>
        <v>x</v>
      </c>
      <c r="W393" s="40" t="str">
        <f t="shared" si="81"/>
        <v>Loại 3</v>
      </c>
      <c r="X393" s="34"/>
    </row>
    <row r="394" spans="1:24" ht="15.75" hidden="1" customHeight="1">
      <c r="A394" s="30">
        <f>_xlfn.AGGREGATE(4,7,A$6:A393)+1</f>
        <v>280</v>
      </c>
      <c r="B394" s="66" t="str">
        <f t="shared" si="80"/>
        <v>H. Chợ Đồn</v>
      </c>
      <c r="C394" s="31" t="str">
        <f t="shared" si="86"/>
        <v>X. Đại Sảo</v>
      </c>
      <c r="D394" s="34"/>
      <c r="E394" s="34" t="s">
        <v>58</v>
      </c>
      <c r="F394" s="31" t="s">
        <v>482</v>
      </c>
      <c r="G394" s="34"/>
      <c r="H394" s="34" t="str">
        <f>IF(LEFT('PL1(Full)'!$F394,4)="Thôn","Thôn","Tổ")</f>
        <v>Thôn</v>
      </c>
      <c r="I394" s="36">
        <v>76</v>
      </c>
      <c r="J394" s="36">
        <v>270</v>
      </c>
      <c r="K394" s="36">
        <v>75</v>
      </c>
      <c r="L394" s="37">
        <f t="shared" si="0"/>
        <v>98.684210526315795</v>
      </c>
      <c r="M394" s="36">
        <v>20</v>
      </c>
      <c r="N394" s="38">
        <f t="shared" si="1"/>
        <v>26.315789473684209</v>
      </c>
      <c r="O394" s="36">
        <v>20</v>
      </c>
      <c r="P394" s="38">
        <f t="shared" si="2"/>
        <v>100</v>
      </c>
      <c r="Q394" s="88" t="s">
        <v>82</v>
      </c>
      <c r="R394" s="88" t="str">
        <f t="shared" si="3"/>
        <v>X</v>
      </c>
      <c r="S394" s="32" t="s">
        <v>60</v>
      </c>
      <c r="T394" s="34" t="str">
        <f>IF('PL1(Full)'!$N394&gt;=20,"x",IF(AND('PL1(Full)'!$N394&gt;=15,'PL1(Full)'!$P394&gt;60),"x",""))</f>
        <v>x</v>
      </c>
      <c r="U394" s="34" t="str">
        <f>IF(AND('PL1(Full)'!$H394="Thôn",'PL1(Full)'!$I394&lt;75),"x",IF(AND('PL1(Full)'!$H394="Tổ",'PL1(Full)'!$I394&lt;100),"x","-"))</f>
        <v>-</v>
      </c>
      <c r="V394" s="34" t="str">
        <f>IF(AND('PL1(Full)'!$H394="Thôn",'PL1(Full)'!$I394&lt;140),"x",IF(AND('PL1(Full)'!$H394="Tổ",'PL1(Full)'!$I394&lt;210),"x","-"))</f>
        <v>x</v>
      </c>
      <c r="W394" s="40" t="str">
        <f t="shared" si="81"/>
        <v>Loại 3</v>
      </c>
      <c r="X394" s="34"/>
    </row>
    <row r="395" spans="1:24" ht="15.75" customHeight="1">
      <c r="A395" s="30">
        <f>_xlfn.AGGREGATE(4,7,A$6:A394)+1</f>
        <v>280</v>
      </c>
      <c r="B395" s="66" t="str">
        <f t="shared" si="80"/>
        <v>H. Chợ Đồn</v>
      </c>
      <c r="C395" s="31" t="str">
        <f t="shared" si="86"/>
        <v>X. Đại Sảo</v>
      </c>
      <c r="D395" s="34"/>
      <c r="E395" s="34" t="s">
        <v>58</v>
      </c>
      <c r="F395" s="31" t="s">
        <v>483</v>
      </c>
      <c r="G395" s="34"/>
      <c r="H395" s="34" t="str">
        <f>IF(LEFT('PL1(Full)'!$F395,4)="Thôn","Thôn","Tổ")</f>
        <v>Thôn</v>
      </c>
      <c r="I395" s="36">
        <v>58</v>
      </c>
      <c r="J395" s="36">
        <v>247</v>
      </c>
      <c r="K395" s="36">
        <v>56</v>
      </c>
      <c r="L395" s="37">
        <f t="shared" si="0"/>
        <v>96.551724137931032</v>
      </c>
      <c r="M395" s="36">
        <v>7</v>
      </c>
      <c r="N395" s="38">
        <f t="shared" si="1"/>
        <v>12.068965517241379</v>
      </c>
      <c r="O395" s="36">
        <v>7</v>
      </c>
      <c r="P395" s="38">
        <f t="shared" si="2"/>
        <v>100</v>
      </c>
      <c r="Q395" s="88" t="s">
        <v>82</v>
      </c>
      <c r="R395" s="88" t="str">
        <f t="shared" si="3"/>
        <v>X</v>
      </c>
      <c r="S395" s="32" t="s">
        <v>60</v>
      </c>
      <c r="T395" s="34" t="str">
        <f>IF('PL1(Full)'!$N395&gt;=20,"x",IF(AND('PL1(Full)'!$N395&gt;=15,'PL1(Full)'!$P395&gt;60),"x",""))</f>
        <v/>
      </c>
      <c r="U395" s="34" t="str">
        <f>IF(AND('PL1(Full)'!$H395="Thôn",'PL1(Full)'!$I395&lt;75),"x",IF(AND('PL1(Full)'!$H395="Tổ",'PL1(Full)'!$I395&lt;100),"x","-"))</f>
        <v>x</v>
      </c>
      <c r="V395" s="34" t="str">
        <f>IF(AND('PL1(Full)'!$H395="Thôn",'PL1(Full)'!$I395&lt;140),"x",IF(AND('PL1(Full)'!$H395="Tổ",'PL1(Full)'!$I395&lt;210),"x","-"))</f>
        <v>x</v>
      </c>
      <c r="W395" s="40" t="str">
        <f t="shared" si="81"/>
        <v>Loại 3</v>
      </c>
      <c r="X395" s="34"/>
    </row>
    <row r="396" spans="1:24" ht="15.75" hidden="1" customHeight="1">
      <c r="A396" s="30">
        <f>_xlfn.AGGREGATE(4,7,A$6:A395)+1</f>
        <v>281</v>
      </c>
      <c r="B396" s="66" t="str">
        <f t="shared" si="80"/>
        <v>H. Chợ Đồn</v>
      </c>
      <c r="C396" s="31" t="str">
        <f t="shared" si="86"/>
        <v>X. Đại Sảo</v>
      </c>
      <c r="D396" s="34"/>
      <c r="E396" s="34" t="s">
        <v>58</v>
      </c>
      <c r="F396" s="31" t="s">
        <v>484</v>
      </c>
      <c r="G396" s="34"/>
      <c r="H396" s="34" t="str">
        <f>IF(LEFT('PL1(Full)'!$F396,4)="Thôn","Thôn","Tổ")</f>
        <v>Thôn</v>
      </c>
      <c r="I396" s="36">
        <v>99</v>
      </c>
      <c r="J396" s="36">
        <v>398</v>
      </c>
      <c r="K396" s="36">
        <v>97</v>
      </c>
      <c r="L396" s="37">
        <f t="shared" si="0"/>
        <v>97.979797979797979</v>
      </c>
      <c r="M396" s="36">
        <v>19</v>
      </c>
      <c r="N396" s="38">
        <f t="shared" si="1"/>
        <v>19.19191919191919</v>
      </c>
      <c r="O396" s="36">
        <v>19</v>
      </c>
      <c r="P396" s="38">
        <f t="shared" si="2"/>
        <v>100</v>
      </c>
      <c r="Q396" s="88" t="s">
        <v>49</v>
      </c>
      <c r="R396" s="88" t="str">
        <f t="shared" si="3"/>
        <v>X</v>
      </c>
      <c r="S396" s="32" t="s">
        <v>60</v>
      </c>
      <c r="T396" s="34" t="str">
        <f>IF('PL1(Full)'!$N396&gt;=20,"x",IF(AND('PL1(Full)'!$N396&gt;=15,'PL1(Full)'!$P396&gt;60),"x",""))</f>
        <v>x</v>
      </c>
      <c r="U396" s="34" t="str">
        <f>IF(AND('PL1(Full)'!$H396="Thôn",'PL1(Full)'!$I396&lt;75),"x",IF(AND('PL1(Full)'!$H396="Tổ",'PL1(Full)'!$I396&lt;100),"x","-"))</f>
        <v>-</v>
      </c>
      <c r="V396" s="34" t="str">
        <f>IF(AND('PL1(Full)'!$H396="Thôn",'PL1(Full)'!$I396&lt;140),"x",IF(AND('PL1(Full)'!$H396="Tổ",'PL1(Full)'!$I396&lt;210),"x","-"))</f>
        <v>x</v>
      </c>
      <c r="W396" s="40" t="str">
        <f t="shared" si="81"/>
        <v>Loại 3</v>
      </c>
      <c r="X396" s="34"/>
    </row>
    <row r="397" spans="1:24" ht="15.75" hidden="1" customHeight="1">
      <c r="A397" s="30">
        <f>_xlfn.AGGREGATE(4,7,A$6:A396)+1</f>
        <v>281</v>
      </c>
      <c r="B397" s="66" t="str">
        <f t="shared" si="80"/>
        <v>H. Chợ Đồn</v>
      </c>
      <c r="C397" s="31" t="str">
        <f t="shared" si="86"/>
        <v>X. Đại Sảo</v>
      </c>
      <c r="D397" s="34"/>
      <c r="E397" s="34" t="s">
        <v>58</v>
      </c>
      <c r="F397" s="31" t="s">
        <v>485</v>
      </c>
      <c r="G397" s="34"/>
      <c r="H397" s="34" t="str">
        <f>IF(LEFT('PL1(Full)'!$F397,4)="Thôn","Thôn","Tổ")</f>
        <v>Thôn</v>
      </c>
      <c r="I397" s="36">
        <v>81</v>
      </c>
      <c r="J397" s="36">
        <v>284</v>
      </c>
      <c r="K397" s="36">
        <v>37</v>
      </c>
      <c r="L397" s="37">
        <f t="shared" si="0"/>
        <v>45.679012345679013</v>
      </c>
      <c r="M397" s="36">
        <v>12</v>
      </c>
      <c r="N397" s="38">
        <f t="shared" si="1"/>
        <v>14.814814814814815</v>
      </c>
      <c r="O397" s="36">
        <v>5</v>
      </c>
      <c r="P397" s="38">
        <f t="shared" si="2"/>
        <v>41.666666666666664</v>
      </c>
      <c r="Q397" s="88" t="s">
        <v>49</v>
      </c>
      <c r="R397" s="88" t="str">
        <f t="shared" si="3"/>
        <v>X</v>
      </c>
      <c r="S397" s="32"/>
      <c r="T397" s="34" t="str">
        <f>IF('PL1(Full)'!$N397&gt;=20,"x",IF(AND('PL1(Full)'!$N397&gt;=15,'PL1(Full)'!$P397&gt;60),"x",""))</f>
        <v/>
      </c>
      <c r="U397" s="34" t="str">
        <f>IF(AND('PL1(Full)'!$H397="Thôn",'PL1(Full)'!$I397&lt;75),"x",IF(AND('PL1(Full)'!$H397="Tổ",'PL1(Full)'!$I397&lt;100),"x","-"))</f>
        <v>-</v>
      </c>
      <c r="V397" s="34" t="str">
        <f>IF(AND('PL1(Full)'!$H397="Thôn",'PL1(Full)'!$I397&lt;140),"x",IF(AND('PL1(Full)'!$H397="Tổ",'PL1(Full)'!$I397&lt;210),"x","-"))</f>
        <v>x</v>
      </c>
      <c r="W397" s="40" t="str">
        <f t="shared" si="81"/>
        <v>Loại 3</v>
      </c>
      <c r="X397" s="34"/>
    </row>
    <row r="398" spans="1:24" ht="15.75" hidden="1" customHeight="1">
      <c r="A398" s="41">
        <f>_xlfn.AGGREGATE(4,7,A$6:A397)+1</f>
        <v>281</v>
      </c>
      <c r="B398" s="67" t="str">
        <f t="shared" si="80"/>
        <v>H. Chợ Đồn</v>
      </c>
      <c r="C398" s="42" t="str">
        <f t="shared" si="86"/>
        <v>X. Đại Sảo</v>
      </c>
      <c r="D398" s="50"/>
      <c r="E398" s="50" t="s">
        <v>58</v>
      </c>
      <c r="F398" s="42" t="s">
        <v>486</v>
      </c>
      <c r="G398" s="50" t="s">
        <v>40</v>
      </c>
      <c r="H398" s="50" t="str">
        <f>IF(LEFT('PL1(Full)'!$F398,4)="Thôn","Thôn","Tổ")</f>
        <v>Thôn</v>
      </c>
      <c r="I398" s="46">
        <v>89</v>
      </c>
      <c r="J398" s="46">
        <v>370</v>
      </c>
      <c r="K398" s="46">
        <v>85</v>
      </c>
      <c r="L398" s="47">
        <f t="shared" si="0"/>
        <v>95.50561797752809</v>
      </c>
      <c r="M398" s="46">
        <v>13</v>
      </c>
      <c r="N398" s="48">
        <f t="shared" si="1"/>
        <v>14.606741573033707</v>
      </c>
      <c r="O398" s="46">
        <v>13</v>
      </c>
      <c r="P398" s="48">
        <f t="shared" si="2"/>
        <v>100</v>
      </c>
      <c r="Q398" s="89" t="s">
        <v>56</v>
      </c>
      <c r="R398" s="89" t="str">
        <f t="shared" si="3"/>
        <v>X</v>
      </c>
      <c r="S398" s="43" t="s">
        <v>60</v>
      </c>
      <c r="T398" s="50" t="str">
        <f>IF('PL1(Full)'!$N398&gt;=20,"x",IF(AND('PL1(Full)'!$N398&gt;=15,'PL1(Full)'!$P398&gt;60),"x",""))</f>
        <v/>
      </c>
      <c r="U398" s="50" t="str">
        <f>IF(AND('PL1(Full)'!$H398="Thôn",'PL1(Full)'!$I398&lt;75),"x",IF(AND('PL1(Full)'!$H398="Tổ",'PL1(Full)'!$I398&lt;100),"x","-"))</f>
        <v>-</v>
      </c>
      <c r="V398" s="34" t="str">
        <f>IF(AND('PL1(Full)'!$H398="Thôn",'PL1(Full)'!$I398&lt;140),"x",IF(AND('PL1(Full)'!$H398="Tổ",'PL1(Full)'!$I398&lt;210),"x","-"))</f>
        <v>x</v>
      </c>
      <c r="W398" s="51" t="str">
        <f t="shared" si="81"/>
        <v>Loại 3</v>
      </c>
      <c r="X398" s="50"/>
    </row>
    <row r="399" spans="1:24" ht="15.75" hidden="1" customHeight="1">
      <c r="A399" s="52">
        <f>_xlfn.AGGREGATE(4,7,A$6:A398)+1</f>
        <v>281</v>
      </c>
      <c r="B399" s="65" t="str">
        <f t="shared" si="80"/>
        <v>H. Chợ Đồn</v>
      </c>
      <c r="C399" s="14" t="s">
        <v>487</v>
      </c>
      <c r="D399" s="25" t="s">
        <v>36</v>
      </c>
      <c r="E399" s="25" t="s">
        <v>36</v>
      </c>
      <c r="F399" s="14" t="s">
        <v>488</v>
      </c>
      <c r="G399" s="25" t="s">
        <v>40</v>
      </c>
      <c r="H399" s="25" t="str">
        <f>IF(LEFT('PL1(Full)'!$F399,4)="Thôn","Thôn","Tổ")</f>
        <v>Thôn</v>
      </c>
      <c r="I399" s="20">
        <v>113</v>
      </c>
      <c r="J399" s="20">
        <v>479</v>
      </c>
      <c r="K399" s="20">
        <v>110</v>
      </c>
      <c r="L399" s="21">
        <f t="shared" si="0"/>
        <v>97.345132743362825</v>
      </c>
      <c r="M399" s="20">
        <v>3</v>
      </c>
      <c r="N399" s="22">
        <f t="shared" si="1"/>
        <v>2.6548672566371683</v>
      </c>
      <c r="O399" s="20">
        <v>3</v>
      </c>
      <c r="P399" s="22">
        <f t="shared" si="2"/>
        <v>100</v>
      </c>
      <c r="Q399" s="87" t="s">
        <v>47</v>
      </c>
      <c r="R399" s="87" t="str">
        <f t="shared" si="3"/>
        <v>X</v>
      </c>
      <c r="S399" s="18"/>
      <c r="T399" s="26" t="str">
        <f>IF('PL1(Full)'!$N399&gt;=20,"x",IF(AND('PL1(Full)'!$N399&gt;=15,'PL1(Full)'!$P399&gt;60),"x",""))</f>
        <v/>
      </c>
      <c r="U399" s="27" t="str">
        <f>IF(AND('PL1(Full)'!$H399="Thôn",'PL1(Full)'!$I399&lt;75),"x",IF(AND('PL1(Full)'!$H399="Tổ",'PL1(Full)'!$I399&lt;100),"x","-"))</f>
        <v>-</v>
      </c>
      <c r="V399" s="28" t="str">
        <f>IF(AND('PL1(Full)'!$H399="Thôn",'PL1(Full)'!$I399&lt;140),"x",IF(AND('PL1(Full)'!$H399="Tổ",'PL1(Full)'!$I399&lt;210),"x","-"))</f>
        <v>x</v>
      </c>
      <c r="W399" s="29" t="str">
        <f t="shared" si="81"/>
        <v>Loại 2</v>
      </c>
      <c r="X399" s="25"/>
    </row>
    <row r="400" spans="1:24" ht="15.75" hidden="1" customHeight="1">
      <c r="A400" s="30">
        <f>_xlfn.AGGREGATE(4,7,A$6:A399)+1</f>
        <v>281</v>
      </c>
      <c r="B400" s="66" t="str">
        <f t="shared" si="80"/>
        <v>H. Chợ Đồn</v>
      </c>
      <c r="C400" s="31" t="str">
        <f t="shared" ref="C400:C404" si="87">C399</f>
        <v>X. Đồng Lạc</v>
      </c>
      <c r="D400" s="34"/>
      <c r="E400" s="34" t="s">
        <v>36</v>
      </c>
      <c r="F400" s="31" t="s">
        <v>489</v>
      </c>
      <c r="G400" s="34" t="s">
        <v>40</v>
      </c>
      <c r="H400" s="34" t="str">
        <f>IF(LEFT('PL1(Full)'!$F400,4)="Thôn","Thôn","Tổ")</f>
        <v>Thôn</v>
      </c>
      <c r="I400" s="36">
        <v>114</v>
      </c>
      <c r="J400" s="36">
        <v>487</v>
      </c>
      <c r="K400" s="36">
        <v>103</v>
      </c>
      <c r="L400" s="37">
        <f t="shared" si="0"/>
        <v>90.350877192982452</v>
      </c>
      <c r="M400" s="36">
        <v>3</v>
      </c>
      <c r="N400" s="38">
        <f t="shared" si="1"/>
        <v>2.6315789473684212</v>
      </c>
      <c r="O400" s="36">
        <v>3</v>
      </c>
      <c r="P400" s="38">
        <f t="shared" si="2"/>
        <v>100</v>
      </c>
      <c r="Q400" s="88" t="s">
        <v>47</v>
      </c>
      <c r="R400" s="88" t="str">
        <f t="shared" si="3"/>
        <v>X</v>
      </c>
      <c r="S400" s="32"/>
      <c r="T400" s="34" t="str">
        <f>IF('PL1(Full)'!$N400&gt;=20,"x",IF(AND('PL1(Full)'!$N400&gt;=15,'PL1(Full)'!$P400&gt;60),"x",""))</f>
        <v/>
      </c>
      <c r="U400" s="34" t="str">
        <f>IF(AND('PL1(Full)'!$H400="Thôn",'PL1(Full)'!$I400&lt;75),"x",IF(AND('PL1(Full)'!$H400="Tổ",'PL1(Full)'!$I400&lt;100),"x","-"))</f>
        <v>-</v>
      </c>
      <c r="V400" s="34" t="str">
        <f>IF(AND('PL1(Full)'!$H400="Thôn",'PL1(Full)'!$I400&lt;140),"x",IF(AND('PL1(Full)'!$H400="Tổ",'PL1(Full)'!$I400&lt;210),"x","-"))</f>
        <v>x</v>
      </c>
      <c r="W400" s="40" t="str">
        <f t="shared" si="81"/>
        <v>Loại 2</v>
      </c>
      <c r="X400" s="34"/>
    </row>
    <row r="401" spans="1:24" ht="15.75" hidden="1" customHeight="1">
      <c r="A401" s="30">
        <f>_xlfn.AGGREGATE(4,7,A$6:A400)+1</f>
        <v>281</v>
      </c>
      <c r="B401" s="66" t="str">
        <f t="shared" si="80"/>
        <v>H. Chợ Đồn</v>
      </c>
      <c r="C401" s="31" t="str">
        <f t="shared" si="87"/>
        <v>X. Đồng Lạc</v>
      </c>
      <c r="D401" s="34"/>
      <c r="E401" s="34" t="s">
        <v>36</v>
      </c>
      <c r="F401" s="31" t="s">
        <v>490</v>
      </c>
      <c r="G401" s="34" t="s">
        <v>40</v>
      </c>
      <c r="H401" s="34" t="str">
        <f>IF(LEFT('PL1(Full)'!$F401,4)="Thôn","Thôn","Tổ")</f>
        <v>Thôn</v>
      </c>
      <c r="I401" s="36">
        <v>118</v>
      </c>
      <c r="J401" s="36">
        <v>542</v>
      </c>
      <c r="K401" s="36">
        <v>116</v>
      </c>
      <c r="L401" s="37">
        <f t="shared" si="0"/>
        <v>98.305084745762713</v>
      </c>
      <c r="M401" s="36">
        <v>4</v>
      </c>
      <c r="N401" s="38">
        <f t="shared" si="1"/>
        <v>3.3898305084745761</v>
      </c>
      <c r="O401" s="36">
        <v>4</v>
      </c>
      <c r="P401" s="38">
        <f t="shared" si="2"/>
        <v>100</v>
      </c>
      <c r="Q401" s="88" t="s">
        <v>491</v>
      </c>
      <c r="R401" s="88" t="str">
        <f t="shared" si="3"/>
        <v>X</v>
      </c>
      <c r="S401" s="32"/>
      <c r="T401" s="34" t="str">
        <f>IF('PL1(Full)'!$N401&gt;=20,"x",IF(AND('PL1(Full)'!$N401&gt;=15,'PL1(Full)'!$P401&gt;60),"x",""))</f>
        <v/>
      </c>
      <c r="U401" s="34" t="str">
        <f>IF(AND('PL1(Full)'!$H401="Thôn",'PL1(Full)'!$I401&lt;75),"x",IF(AND('PL1(Full)'!$H401="Tổ",'PL1(Full)'!$I401&lt;100),"x","-"))</f>
        <v>-</v>
      </c>
      <c r="V401" s="34" t="str">
        <f>IF(AND('PL1(Full)'!$H401="Thôn",'PL1(Full)'!$I401&lt;140),"x",IF(AND('PL1(Full)'!$H401="Tổ",'PL1(Full)'!$I401&lt;210),"x","-"))</f>
        <v>x</v>
      </c>
      <c r="W401" s="40" t="str">
        <f t="shared" si="81"/>
        <v>Loại 2</v>
      </c>
      <c r="X401" s="34"/>
    </row>
    <row r="402" spans="1:24" ht="15.75" customHeight="1">
      <c r="A402" s="30">
        <f>_xlfn.AGGREGATE(4,7,A$6:A401)+1</f>
        <v>281</v>
      </c>
      <c r="B402" s="66" t="str">
        <f t="shared" si="80"/>
        <v>H. Chợ Đồn</v>
      </c>
      <c r="C402" s="31" t="str">
        <f t="shared" si="87"/>
        <v>X. Đồng Lạc</v>
      </c>
      <c r="D402" s="34"/>
      <c r="E402" s="34" t="s">
        <v>36</v>
      </c>
      <c r="F402" s="31" t="s">
        <v>492</v>
      </c>
      <c r="G402" s="34"/>
      <c r="H402" s="34" t="str">
        <f>IF(LEFT('PL1(Full)'!$F402,4)="Thôn","Thôn","Tổ")</f>
        <v>Thôn</v>
      </c>
      <c r="I402" s="36">
        <v>61</v>
      </c>
      <c r="J402" s="36">
        <v>258</v>
      </c>
      <c r="K402" s="36">
        <v>53</v>
      </c>
      <c r="L402" s="37">
        <f t="shared" si="0"/>
        <v>86.885245901639351</v>
      </c>
      <c r="M402" s="36">
        <v>0</v>
      </c>
      <c r="N402" s="38">
        <f t="shared" si="1"/>
        <v>0</v>
      </c>
      <c r="O402" s="36">
        <v>0</v>
      </c>
      <c r="P402" s="38">
        <f t="shared" si="2"/>
        <v>0</v>
      </c>
      <c r="Q402" s="88" t="s">
        <v>56</v>
      </c>
      <c r="R402" s="88" t="str">
        <f t="shared" si="3"/>
        <v>X</v>
      </c>
      <c r="S402" s="32"/>
      <c r="T402" s="34" t="str">
        <f>IF('PL1(Full)'!$N402&gt;=20,"x",IF(AND('PL1(Full)'!$N402&gt;=15,'PL1(Full)'!$P402&gt;60),"x",""))</f>
        <v/>
      </c>
      <c r="U402" s="34" t="str">
        <f>IF(AND('PL1(Full)'!$H402="Thôn",'PL1(Full)'!$I402&lt;75),"x",IF(AND('PL1(Full)'!$H402="Tổ",'PL1(Full)'!$I402&lt;100),"x","-"))</f>
        <v>x</v>
      </c>
      <c r="V402" s="34" t="str">
        <f>IF(AND('PL1(Full)'!$H402="Thôn",'PL1(Full)'!$I402&lt;140),"x",IF(AND('PL1(Full)'!$H402="Tổ",'PL1(Full)'!$I402&lt;210),"x","-"))</f>
        <v>x</v>
      </c>
      <c r="W402" s="40" t="str">
        <f t="shared" si="81"/>
        <v>Loại 3</v>
      </c>
      <c r="X402" s="34"/>
    </row>
    <row r="403" spans="1:24" ht="15.75" hidden="1" customHeight="1">
      <c r="A403" s="30">
        <f>_xlfn.AGGREGATE(4,7,A$6:A402)+1</f>
        <v>282</v>
      </c>
      <c r="B403" s="66" t="str">
        <f t="shared" si="80"/>
        <v>H. Chợ Đồn</v>
      </c>
      <c r="C403" s="31" t="str">
        <f t="shared" si="87"/>
        <v>X. Đồng Lạc</v>
      </c>
      <c r="D403" s="34"/>
      <c r="E403" s="34" t="s">
        <v>36</v>
      </c>
      <c r="F403" s="31" t="s">
        <v>493</v>
      </c>
      <c r="G403" s="34"/>
      <c r="H403" s="34" t="str">
        <f>IF(LEFT('PL1(Full)'!$F403,4)="Thôn","Thôn","Tổ")</f>
        <v>Thôn</v>
      </c>
      <c r="I403" s="36">
        <v>80</v>
      </c>
      <c r="J403" s="36">
        <v>309</v>
      </c>
      <c r="K403" s="36">
        <v>76</v>
      </c>
      <c r="L403" s="37">
        <f t="shared" si="0"/>
        <v>95</v>
      </c>
      <c r="M403" s="36">
        <v>6</v>
      </c>
      <c r="N403" s="38">
        <f t="shared" si="1"/>
        <v>7.5</v>
      </c>
      <c r="O403" s="36">
        <v>5</v>
      </c>
      <c r="P403" s="38">
        <f t="shared" si="2"/>
        <v>83.333333333333329</v>
      </c>
      <c r="Q403" s="88" t="s">
        <v>56</v>
      </c>
      <c r="R403" s="88" t="str">
        <f t="shared" si="3"/>
        <v>X</v>
      </c>
      <c r="S403" s="32"/>
      <c r="T403" s="34" t="str">
        <f>IF('PL1(Full)'!$N403&gt;=20,"x",IF(AND('PL1(Full)'!$N403&gt;=15,'PL1(Full)'!$P403&gt;60),"x",""))</f>
        <v/>
      </c>
      <c r="U403" s="34" t="str">
        <f>IF(AND('PL1(Full)'!$H403="Thôn",'PL1(Full)'!$I403&lt;75),"x",IF(AND('PL1(Full)'!$H403="Tổ",'PL1(Full)'!$I403&lt;100),"x","-"))</f>
        <v>-</v>
      </c>
      <c r="V403" s="34" t="str">
        <f>IF(AND('PL1(Full)'!$H403="Thôn",'PL1(Full)'!$I403&lt;140),"x",IF(AND('PL1(Full)'!$H403="Tổ",'PL1(Full)'!$I403&lt;210),"x","-"))</f>
        <v>x</v>
      </c>
      <c r="W403" s="40" t="str">
        <f t="shared" si="81"/>
        <v>Loại 3</v>
      </c>
      <c r="X403" s="34"/>
    </row>
    <row r="404" spans="1:24" ht="15.75" hidden="1" customHeight="1">
      <c r="A404" s="41">
        <f>_xlfn.AGGREGATE(4,7,A$6:A403)+1</f>
        <v>282</v>
      </c>
      <c r="B404" s="67" t="str">
        <f t="shared" si="80"/>
        <v>H. Chợ Đồn</v>
      </c>
      <c r="C404" s="42" t="str">
        <f t="shared" si="87"/>
        <v>X. Đồng Lạc</v>
      </c>
      <c r="D404" s="50"/>
      <c r="E404" s="50" t="s">
        <v>36</v>
      </c>
      <c r="F404" s="42" t="s">
        <v>494</v>
      </c>
      <c r="G404" s="50" t="s">
        <v>40</v>
      </c>
      <c r="H404" s="50" t="str">
        <f>IF(LEFT('PL1(Full)'!$F404,4)="Thôn","Thôn","Tổ")</f>
        <v>Thôn</v>
      </c>
      <c r="I404" s="46">
        <v>101</v>
      </c>
      <c r="J404" s="46">
        <v>415</v>
      </c>
      <c r="K404" s="46">
        <v>90</v>
      </c>
      <c r="L404" s="47">
        <f t="shared" si="0"/>
        <v>89.10891089108911</v>
      </c>
      <c r="M404" s="46">
        <v>1</v>
      </c>
      <c r="N404" s="48">
        <f t="shared" si="1"/>
        <v>0.99009900990099009</v>
      </c>
      <c r="O404" s="46">
        <v>2</v>
      </c>
      <c r="P404" s="48">
        <f t="shared" si="2"/>
        <v>200</v>
      </c>
      <c r="Q404" s="89" t="s">
        <v>47</v>
      </c>
      <c r="R404" s="89" t="str">
        <f t="shared" si="3"/>
        <v>X</v>
      </c>
      <c r="S404" s="43"/>
      <c r="T404" s="50" t="str">
        <f>IF('PL1(Full)'!$N404&gt;=20,"x",IF(AND('PL1(Full)'!$N404&gt;=15,'PL1(Full)'!$P404&gt;60),"x",""))</f>
        <v/>
      </c>
      <c r="U404" s="50" t="str">
        <f>IF(AND('PL1(Full)'!$H404="Thôn",'PL1(Full)'!$I404&lt;75),"x",IF(AND('PL1(Full)'!$H404="Tổ",'PL1(Full)'!$I404&lt;100),"x","-"))</f>
        <v>-</v>
      </c>
      <c r="V404" s="50" t="str">
        <f>IF(AND('PL1(Full)'!$H404="Thôn",'PL1(Full)'!$I404&lt;140),"x",IF(AND('PL1(Full)'!$H404="Tổ",'PL1(Full)'!$I404&lt;210),"x","-"))</f>
        <v>x</v>
      </c>
      <c r="W404" s="51" t="str">
        <f t="shared" si="81"/>
        <v>Loại 2</v>
      </c>
      <c r="X404" s="50"/>
    </row>
    <row r="405" spans="1:24" ht="15.75" customHeight="1">
      <c r="A405" s="52">
        <f>_xlfn.AGGREGATE(4,7,A$6:A404)+1</f>
        <v>282</v>
      </c>
      <c r="B405" s="65" t="str">
        <f t="shared" si="80"/>
        <v>H. Chợ Đồn</v>
      </c>
      <c r="C405" s="14" t="s">
        <v>495</v>
      </c>
      <c r="D405" s="25" t="s">
        <v>36</v>
      </c>
      <c r="E405" s="25" t="s">
        <v>36</v>
      </c>
      <c r="F405" s="14" t="s">
        <v>496</v>
      </c>
      <c r="G405" s="25"/>
      <c r="H405" s="25" t="str">
        <f>IF(LEFT('PL1(Full)'!$F405,4)="Thôn","Thôn","Tổ")</f>
        <v>Thôn</v>
      </c>
      <c r="I405" s="20">
        <v>62</v>
      </c>
      <c r="J405" s="20">
        <v>259</v>
      </c>
      <c r="K405" s="20">
        <v>58</v>
      </c>
      <c r="L405" s="21">
        <f t="shared" si="0"/>
        <v>93.548387096774192</v>
      </c>
      <c r="M405" s="20">
        <v>3</v>
      </c>
      <c r="N405" s="22">
        <f t="shared" si="1"/>
        <v>4.838709677419355</v>
      </c>
      <c r="O405" s="20">
        <v>3</v>
      </c>
      <c r="P405" s="22">
        <f t="shared" si="2"/>
        <v>100</v>
      </c>
      <c r="Q405" s="87" t="s">
        <v>56</v>
      </c>
      <c r="R405" s="87" t="str">
        <f t="shared" si="3"/>
        <v>X</v>
      </c>
      <c r="S405" s="18"/>
      <c r="T405" s="26" t="str">
        <f>IF('PL1(Full)'!$N405&gt;=20,"x",IF(AND('PL1(Full)'!$N405&gt;=15,'PL1(Full)'!$P405&gt;60),"x",""))</f>
        <v/>
      </c>
      <c r="U405" s="27" t="str">
        <f>IF(AND('PL1(Full)'!$H405="Thôn",'PL1(Full)'!$I405&lt;75),"x",IF(AND('PL1(Full)'!$H405="Tổ",'PL1(Full)'!$I405&lt;100),"x","-"))</f>
        <v>x</v>
      </c>
      <c r="V405" s="28" t="str">
        <f>IF(AND('PL1(Full)'!$H405="Thôn",'PL1(Full)'!$I405&lt;140),"x",IF(AND('PL1(Full)'!$H405="Tổ",'PL1(Full)'!$I405&lt;210),"x","-"))</f>
        <v>x</v>
      </c>
      <c r="W405" s="29" t="str">
        <f t="shared" si="81"/>
        <v>Loại 3</v>
      </c>
      <c r="X405" s="25"/>
    </row>
    <row r="406" spans="1:24" ht="15.75" customHeight="1">
      <c r="A406" s="30">
        <f>_xlfn.AGGREGATE(4,7,A$6:A405)+1</f>
        <v>283</v>
      </c>
      <c r="B406" s="66" t="str">
        <f t="shared" si="80"/>
        <v>H. Chợ Đồn</v>
      </c>
      <c r="C406" s="31" t="str">
        <f t="shared" ref="C406:C426" si="88">C405</f>
        <v>X. Đồng Thắng</v>
      </c>
      <c r="D406" s="34"/>
      <c r="E406" s="34" t="s">
        <v>36</v>
      </c>
      <c r="F406" s="31" t="s">
        <v>497</v>
      </c>
      <c r="G406" s="34"/>
      <c r="H406" s="34" t="str">
        <f>IF(LEFT('PL1(Full)'!$F406,4)="Thôn","Thôn","Tổ")</f>
        <v>Thôn</v>
      </c>
      <c r="I406" s="36">
        <v>53</v>
      </c>
      <c r="J406" s="36">
        <v>196</v>
      </c>
      <c r="K406" s="36">
        <v>51</v>
      </c>
      <c r="L406" s="37">
        <f t="shared" si="0"/>
        <v>96.226415094339629</v>
      </c>
      <c r="M406" s="36">
        <v>3</v>
      </c>
      <c r="N406" s="38">
        <f t="shared" si="1"/>
        <v>5.6603773584905657</v>
      </c>
      <c r="O406" s="36">
        <v>2</v>
      </c>
      <c r="P406" s="38">
        <f t="shared" si="2"/>
        <v>66.666666666666671</v>
      </c>
      <c r="Q406" s="88" t="s">
        <v>158</v>
      </c>
      <c r="R406" s="88" t="str">
        <f t="shared" si="3"/>
        <v>X</v>
      </c>
      <c r="S406" s="32"/>
      <c r="T406" s="34" t="str">
        <f>IF('PL1(Full)'!$N406&gt;=20,"x",IF(AND('PL1(Full)'!$N406&gt;=15,'PL1(Full)'!$P406&gt;60),"x",""))</f>
        <v/>
      </c>
      <c r="U406" s="34" t="str">
        <f>IF(AND('PL1(Full)'!$H406="Thôn",'PL1(Full)'!$I406&lt;75),"x",IF(AND('PL1(Full)'!$H406="Tổ",'PL1(Full)'!$I406&lt;100),"x","-"))</f>
        <v>x</v>
      </c>
      <c r="V406" s="34" t="str">
        <f>IF(AND('PL1(Full)'!$H406="Thôn",'PL1(Full)'!$I406&lt;140),"x",IF(AND('PL1(Full)'!$H406="Tổ",'PL1(Full)'!$I406&lt;210),"x","-"))</f>
        <v>x</v>
      </c>
      <c r="W406" s="40" t="str">
        <f t="shared" si="81"/>
        <v>Loại 3</v>
      </c>
      <c r="X406" s="34"/>
    </row>
    <row r="407" spans="1:24" ht="15.75" customHeight="1">
      <c r="A407" s="30">
        <f>_xlfn.AGGREGATE(4,7,A$6:A406)+1</f>
        <v>284</v>
      </c>
      <c r="B407" s="66" t="str">
        <f t="shared" si="80"/>
        <v>H. Chợ Đồn</v>
      </c>
      <c r="C407" s="31" t="str">
        <f t="shared" si="88"/>
        <v>X. Đồng Thắng</v>
      </c>
      <c r="D407" s="34"/>
      <c r="E407" s="34" t="s">
        <v>36</v>
      </c>
      <c r="F407" s="31" t="s">
        <v>498</v>
      </c>
      <c r="G407" s="34"/>
      <c r="H407" s="34" t="str">
        <f>IF(LEFT('PL1(Full)'!$F407,4)="Thôn","Thôn","Tổ")</f>
        <v>Thôn</v>
      </c>
      <c r="I407" s="36">
        <v>35</v>
      </c>
      <c r="J407" s="36">
        <v>153</v>
      </c>
      <c r="K407" s="36">
        <v>35</v>
      </c>
      <c r="L407" s="37">
        <f t="shared" si="0"/>
        <v>100</v>
      </c>
      <c r="M407" s="36">
        <v>0</v>
      </c>
      <c r="N407" s="38">
        <f t="shared" si="1"/>
        <v>0</v>
      </c>
      <c r="O407" s="36">
        <v>0</v>
      </c>
      <c r="P407" s="38">
        <f t="shared" si="2"/>
        <v>0</v>
      </c>
      <c r="Q407" s="88" t="s">
        <v>56</v>
      </c>
      <c r="R407" s="88" t="str">
        <f t="shared" si="3"/>
        <v>X</v>
      </c>
      <c r="S407" s="32"/>
      <c r="T407" s="34" t="str">
        <f>IF('PL1(Full)'!$N407&gt;=20,"x",IF(AND('PL1(Full)'!$N407&gt;=15,'PL1(Full)'!$P407&gt;60),"x",""))</f>
        <v/>
      </c>
      <c r="U407" s="34" t="str">
        <f>IF(AND('PL1(Full)'!$H407="Thôn",'PL1(Full)'!$I407&lt;75),"x",IF(AND('PL1(Full)'!$H407="Tổ",'PL1(Full)'!$I407&lt;100),"x","-"))</f>
        <v>x</v>
      </c>
      <c r="V407" s="34" t="str">
        <f>IF(AND('PL1(Full)'!$H407="Thôn",'PL1(Full)'!$I407&lt;140),"x",IF(AND('PL1(Full)'!$H407="Tổ",'PL1(Full)'!$I407&lt;210),"x","-"))</f>
        <v>x</v>
      </c>
      <c r="W407" s="40" t="str">
        <f t="shared" si="81"/>
        <v>Loại 3</v>
      </c>
      <c r="X407" s="34"/>
    </row>
    <row r="408" spans="1:24" ht="15.75" customHeight="1">
      <c r="A408" s="30">
        <f>_xlfn.AGGREGATE(4,7,A$6:A407)+1</f>
        <v>285</v>
      </c>
      <c r="B408" s="66" t="str">
        <f t="shared" si="80"/>
        <v>H. Chợ Đồn</v>
      </c>
      <c r="C408" s="31" t="str">
        <f t="shared" si="88"/>
        <v>X. Đồng Thắng</v>
      </c>
      <c r="D408" s="34"/>
      <c r="E408" s="34" t="s">
        <v>36</v>
      </c>
      <c r="F408" s="31" t="s">
        <v>499</v>
      </c>
      <c r="G408" s="34"/>
      <c r="H408" s="34" t="str">
        <f>IF(LEFT('PL1(Full)'!$F408,4)="Thôn","Thôn","Tổ")</f>
        <v>Thôn</v>
      </c>
      <c r="I408" s="36">
        <v>56</v>
      </c>
      <c r="J408" s="36">
        <v>246</v>
      </c>
      <c r="K408" s="36">
        <v>53</v>
      </c>
      <c r="L408" s="37">
        <f t="shared" si="0"/>
        <v>94.642857142857139</v>
      </c>
      <c r="M408" s="36">
        <v>1</v>
      </c>
      <c r="N408" s="38">
        <f t="shared" si="1"/>
        <v>1.7857142857142858</v>
      </c>
      <c r="O408" s="36">
        <v>1</v>
      </c>
      <c r="P408" s="38">
        <f t="shared" si="2"/>
        <v>100</v>
      </c>
      <c r="Q408" s="88" t="s">
        <v>158</v>
      </c>
      <c r="R408" s="88" t="str">
        <f t="shared" si="3"/>
        <v>X</v>
      </c>
      <c r="S408" s="32"/>
      <c r="T408" s="34" t="str">
        <f>IF('PL1(Full)'!$N408&gt;=20,"x",IF(AND('PL1(Full)'!$N408&gt;=15,'PL1(Full)'!$P408&gt;60),"x",""))</f>
        <v/>
      </c>
      <c r="U408" s="34" t="str">
        <f>IF(AND('PL1(Full)'!$H408="Thôn",'PL1(Full)'!$I408&lt;75),"x",IF(AND('PL1(Full)'!$H408="Tổ",'PL1(Full)'!$I408&lt;100),"x","-"))</f>
        <v>x</v>
      </c>
      <c r="V408" s="34" t="str">
        <f>IF(AND('PL1(Full)'!$H408="Thôn",'PL1(Full)'!$I408&lt;140),"x",IF(AND('PL1(Full)'!$H408="Tổ",'PL1(Full)'!$I408&lt;210),"x","-"))</f>
        <v>x</v>
      </c>
      <c r="W408" s="40" t="str">
        <f t="shared" si="81"/>
        <v>Loại 3</v>
      </c>
      <c r="X408" s="34"/>
    </row>
    <row r="409" spans="1:24" ht="15.75" customHeight="1">
      <c r="A409" s="30">
        <f>_xlfn.AGGREGATE(4,7,A$6:A408)+1</f>
        <v>286</v>
      </c>
      <c r="B409" s="66" t="str">
        <f t="shared" si="80"/>
        <v>H. Chợ Đồn</v>
      </c>
      <c r="C409" s="31" t="str">
        <f t="shared" si="88"/>
        <v>X. Đồng Thắng</v>
      </c>
      <c r="D409" s="34"/>
      <c r="E409" s="34" t="s">
        <v>36</v>
      </c>
      <c r="F409" s="31" t="s">
        <v>130</v>
      </c>
      <c r="G409" s="34"/>
      <c r="H409" s="34" t="str">
        <f>IF(LEFT('PL1(Full)'!$F409,4)="Thôn","Thôn","Tổ")</f>
        <v>Thôn</v>
      </c>
      <c r="I409" s="36">
        <v>52</v>
      </c>
      <c r="J409" s="36">
        <v>234</v>
      </c>
      <c r="K409" s="36">
        <v>49</v>
      </c>
      <c r="L409" s="37">
        <f t="shared" si="0"/>
        <v>94.230769230769226</v>
      </c>
      <c r="M409" s="36">
        <v>5</v>
      </c>
      <c r="N409" s="38">
        <f t="shared" si="1"/>
        <v>9.615384615384615</v>
      </c>
      <c r="O409" s="36">
        <v>5</v>
      </c>
      <c r="P409" s="38">
        <f t="shared" si="2"/>
        <v>100</v>
      </c>
      <c r="Q409" s="88" t="s">
        <v>158</v>
      </c>
      <c r="R409" s="88" t="str">
        <f t="shared" si="3"/>
        <v>X</v>
      </c>
      <c r="S409" s="32"/>
      <c r="T409" s="34" t="str">
        <f>IF('PL1(Full)'!$N409&gt;=20,"x",IF(AND('PL1(Full)'!$N409&gt;=15,'PL1(Full)'!$P409&gt;60),"x",""))</f>
        <v/>
      </c>
      <c r="U409" s="34" t="str">
        <f>IF(AND('PL1(Full)'!$H409="Thôn",'PL1(Full)'!$I409&lt;75),"x",IF(AND('PL1(Full)'!$H409="Tổ",'PL1(Full)'!$I409&lt;100),"x","-"))</f>
        <v>x</v>
      </c>
      <c r="V409" s="34" t="str">
        <f>IF(AND('PL1(Full)'!$H409="Thôn",'PL1(Full)'!$I409&lt;140),"x",IF(AND('PL1(Full)'!$H409="Tổ",'PL1(Full)'!$I409&lt;210),"x","-"))</f>
        <v>x</v>
      </c>
      <c r="W409" s="40" t="str">
        <f t="shared" si="81"/>
        <v>Loại 3</v>
      </c>
      <c r="X409" s="34"/>
    </row>
    <row r="410" spans="1:24" ht="15.75" customHeight="1">
      <c r="A410" s="30">
        <f>_xlfn.AGGREGATE(4,7,A$6:A409)+1</f>
        <v>287</v>
      </c>
      <c r="B410" s="66" t="str">
        <f t="shared" si="80"/>
        <v>H. Chợ Đồn</v>
      </c>
      <c r="C410" s="31" t="str">
        <f t="shared" si="88"/>
        <v>X. Đồng Thắng</v>
      </c>
      <c r="D410" s="34"/>
      <c r="E410" s="34" t="s">
        <v>36</v>
      </c>
      <c r="F410" s="31" t="s">
        <v>500</v>
      </c>
      <c r="G410" s="34"/>
      <c r="H410" s="34" t="str">
        <f>IF(LEFT('PL1(Full)'!$F410,4)="Thôn","Thôn","Tổ")</f>
        <v>Thôn</v>
      </c>
      <c r="I410" s="36">
        <v>41</v>
      </c>
      <c r="J410" s="36">
        <v>169</v>
      </c>
      <c r="K410" s="36">
        <v>40</v>
      </c>
      <c r="L410" s="37">
        <f t="shared" si="0"/>
        <v>97.560975609756099</v>
      </c>
      <c r="M410" s="36">
        <v>7</v>
      </c>
      <c r="N410" s="38">
        <f t="shared" si="1"/>
        <v>17.073170731707318</v>
      </c>
      <c r="O410" s="36">
        <v>7</v>
      </c>
      <c r="P410" s="38">
        <f t="shared" si="2"/>
        <v>100</v>
      </c>
      <c r="Q410" s="88" t="s">
        <v>158</v>
      </c>
      <c r="R410" s="88" t="str">
        <f t="shared" si="3"/>
        <v>X</v>
      </c>
      <c r="S410" s="32" t="s">
        <v>60</v>
      </c>
      <c r="T410" s="34" t="str">
        <f>IF('PL1(Full)'!$N410&gt;=20,"x",IF(AND('PL1(Full)'!$N410&gt;=15,'PL1(Full)'!$P410&gt;60),"x",""))</f>
        <v>x</v>
      </c>
      <c r="U410" s="34" t="str">
        <f>IF(AND('PL1(Full)'!$H410="Thôn",'PL1(Full)'!$I410&lt;75),"x",IF(AND('PL1(Full)'!$H410="Tổ",'PL1(Full)'!$I410&lt;100),"x","-"))</f>
        <v>x</v>
      </c>
      <c r="V410" s="34" t="str">
        <f>IF(AND('PL1(Full)'!$H410="Thôn",'PL1(Full)'!$I410&lt;140),"x",IF(AND('PL1(Full)'!$H410="Tổ",'PL1(Full)'!$I410&lt;210),"x","-"))</f>
        <v>x</v>
      </c>
      <c r="W410" s="40" t="str">
        <f t="shared" si="81"/>
        <v>Loại 3</v>
      </c>
      <c r="X410" s="34"/>
    </row>
    <row r="411" spans="1:24" ht="15.75" customHeight="1">
      <c r="A411" s="30">
        <f>_xlfn.AGGREGATE(4,7,A$6:A410)+1</f>
        <v>288</v>
      </c>
      <c r="B411" s="66" t="str">
        <f t="shared" si="80"/>
        <v>H. Chợ Đồn</v>
      </c>
      <c r="C411" s="31" t="str">
        <f t="shared" si="88"/>
        <v>X. Đồng Thắng</v>
      </c>
      <c r="D411" s="34"/>
      <c r="E411" s="34" t="s">
        <v>36</v>
      </c>
      <c r="F411" s="31" t="s">
        <v>501</v>
      </c>
      <c r="G411" s="34"/>
      <c r="H411" s="34" t="str">
        <f>IF(LEFT('PL1(Full)'!$F411,4)="Thôn","Thôn","Tổ")</f>
        <v>Thôn</v>
      </c>
      <c r="I411" s="36">
        <v>28</v>
      </c>
      <c r="J411" s="36">
        <v>120</v>
      </c>
      <c r="K411" s="36">
        <v>28</v>
      </c>
      <c r="L411" s="37">
        <f t="shared" si="0"/>
        <v>100</v>
      </c>
      <c r="M411" s="36">
        <v>3</v>
      </c>
      <c r="N411" s="38">
        <f t="shared" si="1"/>
        <v>10.714285714285714</v>
      </c>
      <c r="O411" s="36">
        <v>3</v>
      </c>
      <c r="P411" s="38">
        <f t="shared" si="2"/>
        <v>100</v>
      </c>
      <c r="Q411" s="88" t="s">
        <v>56</v>
      </c>
      <c r="R411" s="88" t="str">
        <f t="shared" si="3"/>
        <v>X</v>
      </c>
      <c r="S411" s="32"/>
      <c r="T411" s="34" t="str">
        <f>IF('PL1(Full)'!$N411&gt;=20,"x",IF(AND('PL1(Full)'!$N411&gt;=15,'PL1(Full)'!$P411&gt;60),"x",""))</f>
        <v/>
      </c>
      <c r="U411" s="34" t="str">
        <f>IF(AND('PL1(Full)'!$H411="Thôn",'PL1(Full)'!$I411&lt;75),"x",IF(AND('PL1(Full)'!$H411="Tổ",'PL1(Full)'!$I411&lt;100),"x","-"))</f>
        <v>x</v>
      </c>
      <c r="V411" s="34" t="str">
        <f>IF(AND('PL1(Full)'!$H411="Thôn",'PL1(Full)'!$I411&lt;140),"x",IF(AND('PL1(Full)'!$H411="Tổ",'PL1(Full)'!$I411&lt;210),"x","-"))</f>
        <v>x</v>
      </c>
      <c r="W411" s="40" t="str">
        <f t="shared" si="81"/>
        <v>Loại 3</v>
      </c>
      <c r="X411" s="34"/>
    </row>
    <row r="412" spans="1:24" ht="15.75" customHeight="1">
      <c r="A412" s="30">
        <f>_xlfn.AGGREGATE(4,7,A$6:A411)+1</f>
        <v>289</v>
      </c>
      <c r="B412" s="66" t="str">
        <f t="shared" si="80"/>
        <v>H. Chợ Đồn</v>
      </c>
      <c r="C412" s="31" t="str">
        <f t="shared" si="88"/>
        <v>X. Đồng Thắng</v>
      </c>
      <c r="D412" s="34"/>
      <c r="E412" s="34" t="s">
        <v>36</v>
      </c>
      <c r="F412" s="31" t="s">
        <v>502</v>
      </c>
      <c r="G412" s="34"/>
      <c r="H412" s="34" t="str">
        <f>IF(LEFT('PL1(Full)'!$F412,4)="Thôn","Thôn","Tổ")</f>
        <v>Thôn</v>
      </c>
      <c r="I412" s="36">
        <v>40</v>
      </c>
      <c r="J412" s="36">
        <v>193</v>
      </c>
      <c r="K412" s="36">
        <v>39</v>
      </c>
      <c r="L412" s="37">
        <f t="shared" si="0"/>
        <v>97.5</v>
      </c>
      <c r="M412" s="36">
        <v>2</v>
      </c>
      <c r="N412" s="38">
        <f t="shared" si="1"/>
        <v>5</v>
      </c>
      <c r="O412" s="36">
        <v>2</v>
      </c>
      <c r="P412" s="38">
        <f t="shared" si="2"/>
        <v>100</v>
      </c>
      <c r="Q412" s="88" t="s">
        <v>158</v>
      </c>
      <c r="R412" s="88" t="str">
        <f t="shared" si="3"/>
        <v>X</v>
      </c>
      <c r="S412" s="32"/>
      <c r="T412" s="34" t="str">
        <f>IF('PL1(Full)'!$N412&gt;=20,"x",IF(AND('PL1(Full)'!$N412&gt;=15,'PL1(Full)'!$P412&gt;60),"x",""))</f>
        <v/>
      </c>
      <c r="U412" s="34" t="str">
        <f>IF(AND('PL1(Full)'!$H412="Thôn",'PL1(Full)'!$I412&lt;75),"x",IF(AND('PL1(Full)'!$H412="Tổ",'PL1(Full)'!$I412&lt;100),"x","-"))</f>
        <v>x</v>
      </c>
      <c r="V412" s="34" t="str">
        <f>IF(AND('PL1(Full)'!$H412="Thôn",'PL1(Full)'!$I412&lt;140),"x",IF(AND('PL1(Full)'!$H412="Tổ",'PL1(Full)'!$I412&lt;210),"x","-"))</f>
        <v>x</v>
      </c>
      <c r="W412" s="40" t="str">
        <f t="shared" si="81"/>
        <v>Loại 3</v>
      </c>
      <c r="X412" s="34"/>
    </row>
    <row r="413" spans="1:24" ht="15.75" customHeight="1">
      <c r="A413" s="30">
        <f>_xlfn.AGGREGATE(4,7,A$6:A412)+1</f>
        <v>290</v>
      </c>
      <c r="B413" s="66" t="str">
        <f t="shared" si="80"/>
        <v>H. Chợ Đồn</v>
      </c>
      <c r="C413" s="31" t="str">
        <f t="shared" si="88"/>
        <v>X. Đồng Thắng</v>
      </c>
      <c r="D413" s="34"/>
      <c r="E413" s="34" t="s">
        <v>36</v>
      </c>
      <c r="F413" s="31" t="s">
        <v>503</v>
      </c>
      <c r="G413" s="34"/>
      <c r="H413" s="34" t="str">
        <f>IF(LEFT('PL1(Full)'!$F413,4)="Thôn","Thôn","Tổ")</f>
        <v>Thôn</v>
      </c>
      <c r="I413" s="36">
        <v>52</v>
      </c>
      <c r="J413" s="36">
        <v>202</v>
      </c>
      <c r="K413" s="36">
        <v>51</v>
      </c>
      <c r="L413" s="37">
        <f t="shared" si="0"/>
        <v>98.07692307692308</v>
      </c>
      <c r="M413" s="36">
        <v>5</v>
      </c>
      <c r="N413" s="38">
        <f t="shared" si="1"/>
        <v>9.615384615384615</v>
      </c>
      <c r="O413" s="36">
        <v>5</v>
      </c>
      <c r="P413" s="38">
        <f t="shared" si="2"/>
        <v>100</v>
      </c>
      <c r="Q413" s="88" t="s">
        <v>158</v>
      </c>
      <c r="R413" s="88" t="str">
        <f t="shared" si="3"/>
        <v>X</v>
      </c>
      <c r="S413" s="32"/>
      <c r="T413" s="34" t="str">
        <f>IF('PL1(Full)'!$N413&gt;=20,"x",IF(AND('PL1(Full)'!$N413&gt;=15,'PL1(Full)'!$P413&gt;60),"x",""))</f>
        <v/>
      </c>
      <c r="U413" s="34" t="str">
        <f>IF(AND('PL1(Full)'!$H413="Thôn",'PL1(Full)'!$I413&lt;75),"x",IF(AND('PL1(Full)'!$H413="Tổ",'PL1(Full)'!$I413&lt;100),"x","-"))</f>
        <v>x</v>
      </c>
      <c r="V413" s="34" t="str">
        <f>IF(AND('PL1(Full)'!$H413="Thôn",'PL1(Full)'!$I413&lt;140),"x",IF(AND('PL1(Full)'!$H413="Tổ",'PL1(Full)'!$I413&lt;210),"x","-"))</f>
        <v>x</v>
      </c>
      <c r="W413" s="40" t="str">
        <f t="shared" si="81"/>
        <v>Loại 3</v>
      </c>
      <c r="X413" s="34"/>
    </row>
    <row r="414" spans="1:24" ht="15.75" customHeight="1">
      <c r="A414" s="30">
        <f>_xlfn.AGGREGATE(4,7,A$6:A413)+1</f>
        <v>291</v>
      </c>
      <c r="B414" s="66" t="str">
        <f t="shared" si="80"/>
        <v>H. Chợ Đồn</v>
      </c>
      <c r="C414" s="31" t="str">
        <f t="shared" si="88"/>
        <v>X. Đồng Thắng</v>
      </c>
      <c r="D414" s="34"/>
      <c r="E414" s="34" t="s">
        <v>36</v>
      </c>
      <c r="F414" s="31" t="s">
        <v>504</v>
      </c>
      <c r="G414" s="34"/>
      <c r="H414" s="34" t="str">
        <f>IF(LEFT('PL1(Full)'!$F414,4)="Thôn","Thôn","Tổ")</f>
        <v>Thôn</v>
      </c>
      <c r="I414" s="36">
        <v>41</v>
      </c>
      <c r="J414" s="36">
        <v>162</v>
      </c>
      <c r="K414" s="36">
        <v>41</v>
      </c>
      <c r="L414" s="37">
        <f t="shared" si="0"/>
        <v>100</v>
      </c>
      <c r="M414" s="36">
        <v>2</v>
      </c>
      <c r="N414" s="38">
        <f t="shared" si="1"/>
        <v>4.8780487804878048</v>
      </c>
      <c r="O414" s="36">
        <v>2</v>
      </c>
      <c r="P414" s="38">
        <f t="shared" si="2"/>
        <v>100</v>
      </c>
      <c r="Q414" s="88" t="s">
        <v>158</v>
      </c>
      <c r="R414" s="88" t="str">
        <f t="shared" si="3"/>
        <v>X</v>
      </c>
      <c r="S414" s="32"/>
      <c r="T414" s="34" t="str">
        <f>IF('PL1(Full)'!$N414&gt;=20,"x",IF(AND('PL1(Full)'!$N414&gt;=15,'PL1(Full)'!$P414&gt;60),"x",""))</f>
        <v/>
      </c>
      <c r="U414" s="34" t="str">
        <f>IF(AND('PL1(Full)'!$H414="Thôn",'PL1(Full)'!$I414&lt;75),"x",IF(AND('PL1(Full)'!$H414="Tổ",'PL1(Full)'!$I414&lt;100),"x","-"))</f>
        <v>x</v>
      </c>
      <c r="V414" s="34" t="str">
        <f>IF(AND('PL1(Full)'!$H414="Thôn",'PL1(Full)'!$I414&lt;140),"x",IF(AND('PL1(Full)'!$H414="Tổ",'PL1(Full)'!$I414&lt;210),"x","-"))</f>
        <v>x</v>
      </c>
      <c r="W414" s="40" t="str">
        <f t="shared" si="81"/>
        <v>Loại 3</v>
      </c>
      <c r="X414" s="34"/>
    </row>
    <row r="415" spans="1:24" ht="15.75" customHeight="1">
      <c r="A415" s="30">
        <f>_xlfn.AGGREGATE(4,7,A$6:A414)+1</f>
        <v>292</v>
      </c>
      <c r="B415" s="66" t="str">
        <f t="shared" si="80"/>
        <v>H. Chợ Đồn</v>
      </c>
      <c r="C415" s="31" t="str">
        <f t="shared" si="88"/>
        <v>X. Đồng Thắng</v>
      </c>
      <c r="D415" s="34"/>
      <c r="E415" s="34" t="s">
        <v>36</v>
      </c>
      <c r="F415" s="31" t="s">
        <v>505</v>
      </c>
      <c r="G415" s="34"/>
      <c r="H415" s="34" t="str">
        <f>IF(LEFT('PL1(Full)'!$F415,4)="Thôn","Thôn","Tổ")</f>
        <v>Thôn</v>
      </c>
      <c r="I415" s="36">
        <v>70</v>
      </c>
      <c r="J415" s="36">
        <v>255</v>
      </c>
      <c r="K415" s="36">
        <v>63</v>
      </c>
      <c r="L415" s="37">
        <f t="shared" si="0"/>
        <v>90</v>
      </c>
      <c r="M415" s="36">
        <v>1</v>
      </c>
      <c r="N415" s="38">
        <f t="shared" si="1"/>
        <v>1.4285714285714286</v>
      </c>
      <c r="O415" s="36">
        <v>1</v>
      </c>
      <c r="P415" s="38">
        <f t="shared" si="2"/>
        <v>100</v>
      </c>
      <c r="Q415" s="88" t="s">
        <v>158</v>
      </c>
      <c r="R415" s="88" t="str">
        <f t="shared" si="3"/>
        <v>X</v>
      </c>
      <c r="S415" s="32"/>
      <c r="T415" s="34"/>
      <c r="U415" s="34" t="str">
        <f>IF(AND('PL1(Full)'!$H415="Thôn",'PL1(Full)'!$I415&lt;75),"x",IF(AND('PL1(Full)'!$H415="Tổ",'PL1(Full)'!$I415&lt;100),"x","-"))</f>
        <v>x</v>
      </c>
      <c r="V415" s="34" t="str">
        <f>IF(AND('PL1(Full)'!$H415="Thôn",'PL1(Full)'!$I415&lt;140),"x",IF(AND('PL1(Full)'!$H415="Tổ",'PL1(Full)'!$I415&lt;210),"x","-"))</f>
        <v>x</v>
      </c>
      <c r="W415" s="40" t="str">
        <f t="shared" si="81"/>
        <v>Loại 3</v>
      </c>
      <c r="X415" s="34"/>
    </row>
    <row r="416" spans="1:24" ht="15.75" customHeight="1">
      <c r="A416" s="30">
        <f>_xlfn.AGGREGATE(4,7,A$6:A415)+1</f>
        <v>293</v>
      </c>
      <c r="B416" s="66" t="str">
        <f t="shared" si="80"/>
        <v>H. Chợ Đồn</v>
      </c>
      <c r="C416" s="31" t="str">
        <f t="shared" si="88"/>
        <v>X. Đồng Thắng</v>
      </c>
      <c r="D416" s="34"/>
      <c r="E416" s="34" t="s">
        <v>36</v>
      </c>
      <c r="F416" s="31" t="s">
        <v>119</v>
      </c>
      <c r="G416" s="34"/>
      <c r="H416" s="34" t="str">
        <f>IF(LEFT('PL1(Full)'!$F416,4)="Thôn","Thôn","Tổ")</f>
        <v>Thôn</v>
      </c>
      <c r="I416" s="36">
        <v>39</v>
      </c>
      <c r="J416" s="36">
        <v>168</v>
      </c>
      <c r="K416" s="36">
        <v>38</v>
      </c>
      <c r="L416" s="37">
        <f t="shared" si="0"/>
        <v>97.435897435897431</v>
      </c>
      <c r="M416" s="36">
        <v>1</v>
      </c>
      <c r="N416" s="38">
        <f t="shared" si="1"/>
        <v>2.5641025641025643</v>
      </c>
      <c r="O416" s="36">
        <v>1</v>
      </c>
      <c r="P416" s="38">
        <f t="shared" si="2"/>
        <v>100</v>
      </c>
      <c r="Q416" s="88" t="s">
        <v>56</v>
      </c>
      <c r="R416" s="88" t="str">
        <f t="shared" si="3"/>
        <v>X</v>
      </c>
      <c r="S416" s="32"/>
      <c r="T416" s="34" t="str">
        <f>IF('PL1(Full)'!$N416&gt;=20,"x",IF(AND('PL1(Full)'!$N416&gt;=15,'PL1(Full)'!$P416&gt;60),"x",""))</f>
        <v/>
      </c>
      <c r="U416" s="34" t="str">
        <f>IF(AND('PL1(Full)'!$H416="Thôn",'PL1(Full)'!$I416&lt;75),"x",IF(AND('PL1(Full)'!$H416="Tổ",'PL1(Full)'!$I416&lt;100),"x","-"))</f>
        <v>x</v>
      </c>
      <c r="V416" s="34" t="str">
        <f>IF(AND('PL1(Full)'!$H416="Thôn",'PL1(Full)'!$I416&lt;140),"x",IF(AND('PL1(Full)'!$H416="Tổ",'PL1(Full)'!$I416&lt;210),"x","-"))</f>
        <v>x</v>
      </c>
      <c r="W416" s="40" t="str">
        <f t="shared" si="81"/>
        <v>Loại 3</v>
      </c>
      <c r="X416" s="34"/>
    </row>
    <row r="417" spans="1:24" ht="15.75" customHeight="1">
      <c r="A417" s="30">
        <f>_xlfn.AGGREGATE(4,7,A$6:A416)+1</f>
        <v>294</v>
      </c>
      <c r="B417" s="66" t="str">
        <f t="shared" si="80"/>
        <v>H. Chợ Đồn</v>
      </c>
      <c r="C417" s="31" t="str">
        <f t="shared" si="88"/>
        <v>X. Đồng Thắng</v>
      </c>
      <c r="D417" s="34"/>
      <c r="E417" s="34" t="s">
        <v>36</v>
      </c>
      <c r="F417" s="31" t="s">
        <v>506</v>
      </c>
      <c r="G417" s="34"/>
      <c r="H417" s="34" t="str">
        <f>IF(LEFT('PL1(Full)'!$F417,4)="Thôn","Thôn","Tổ")</f>
        <v>Thôn</v>
      </c>
      <c r="I417" s="36">
        <v>56</v>
      </c>
      <c r="J417" s="36">
        <v>221</v>
      </c>
      <c r="K417" s="36">
        <v>49</v>
      </c>
      <c r="L417" s="37">
        <f t="shared" si="0"/>
        <v>87.5</v>
      </c>
      <c r="M417" s="36">
        <v>1</v>
      </c>
      <c r="N417" s="38">
        <f t="shared" si="1"/>
        <v>1.7857142857142858</v>
      </c>
      <c r="O417" s="36">
        <v>1</v>
      </c>
      <c r="P417" s="38">
        <f t="shared" si="2"/>
        <v>100</v>
      </c>
      <c r="Q417" s="88" t="s">
        <v>158</v>
      </c>
      <c r="R417" s="88" t="str">
        <f t="shared" si="3"/>
        <v>X</v>
      </c>
      <c r="S417" s="32"/>
      <c r="T417" s="34" t="str">
        <f>IF('PL1(Full)'!$N417&gt;=20,"x",IF(AND('PL1(Full)'!$N417&gt;=15,'PL1(Full)'!$P417&gt;60),"x",""))</f>
        <v/>
      </c>
      <c r="U417" s="34" t="str">
        <f>IF(AND('PL1(Full)'!$H417="Thôn",'PL1(Full)'!$I417&lt;75),"x",IF(AND('PL1(Full)'!$H417="Tổ",'PL1(Full)'!$I417&lt;100),"x","-"))</f>
        <v>x</v>
      </c>
      <c r="V417" s="34" t="str">
        <f>IF(AND('PL1(Full)'!$H417="Thôn",'PL1(Full)'!$I417&lt;140),"x",IF(AND('PL1(Full)'!$H417="Tổ",'PL1(Full)'!$I417&lt;210),"x","-"))</f>
        <v>x</v>
      </c>
      <c r="W417" s="40" t="str">
        <f t="shared" si="81"/>
        <v>Loại 3</v>
      </c>
      <c r="X417" s="34"/>
    </row>
    <row r="418" spans="1:24" ht="15.75" customHeight="1">
      <c r="A418" s="30">
        <f>_xlfn.AGGREGATE(4,7,A$6:A417)+1</f>
        <v>295</v>
      </c>
      <c r="B418" s="66" t="str">
        <f t="shared" si="80"/>
        <v>H. Chợ Đồn</v>
      </c>
      <c r="C418" s="31" t="str">
        <f t="shared" si="88"/>
        <v>X. Đồng Thắng</v>
      </c>
      <c r="D418" s="34"/>
      <c r="E418" s="34" t="s">
        <v>36</v>
      </c>
      <c r="F418" s="31" t="s">
        <v>143</v>
      </c>
      <c r="G418" s="34"/>
      <c r="H418" s="34" t="str">
        <f>IF(LEFT('PL1(Full)'!$F418,4)="Thôn","Thôn","Tổ")</f>
        <v>Thôn</v>
      </c>
      <c r="I418" s="36">
        <v>72</v>
      </c>
      <c r="J418" s="36">
        <v>262</v>
      </c>
      <c r="K418" s="36">
        <v>54</v>
      </c>
      <c r="L418" s="37">
        <f t="shared" si="0"/>
        <v>75</v>
      </c>
      <c r="M418" s="36">
        <v>4</v>
      </c>
      <c r="N418" s="38">
        <f t="shared" si="1"/>
        <v>5.5555555555555554</v>
      </c>
      <c r="O418" s="36">
        <v>3</v>
      </c>
      <c r="P418" s="38">
        <f t="shared" si="2"/>
        <v>75</v>
      </c>
      <c r="Q418" s="88" t="s">
        <v>56</v>
      </c>
      <c r="R418" s="88" t="str">
        <f t="shared" si="3"/>
        <v>X</v>
      </c>
      <c r="S418" s="32"/>
      <c r="T418" s="34" t="str">
        <f>IF('PL1(Full)'!$N418&gt;=20,"x",IF(AND('PL1(Full)'!$N418&gt;=15,'PL1(Full)'!$P418&gt;60),"x",""))</f>
        <v/>
      </c>
      <c r="U418" s="34" t="str">
        <f>IF(AND('PL1(Full)'!$H418="Thôn",'PL1(Full)'!$I418&lt;75),"x",IF(AND('PL1(Full)'!$H418="Tổ",'PL1(Full)'!$I418&lt;100),"x","-"))</f>
        <v>x</v>
      </c>
      <c r="V418" s="34" t="str">
        <f>IF(AND('PL1(Full)'!$H418="Thôn",'PL1(Full)'!$I418&lt;140),"x",IF(AND('PL1(Full)'!$H418="Tổ",'PL1(Full)'!$I418&lt;210),"x","-"))</f>
        <v>x</v>
      </c>
      <c r="W418" s="40" t="str">
        <f t="shared" si="81"/>
        <v>Loại 3</v>
      </c>
      <c r="X418" s="34"/>
    </row>
    <row r="419" spans="1:24" ht="15.75" customHeight="1">
      <c r="A419" s="30">
        <f>_xlfn.AGGREGATE(4,7,A$6:A418)+1</f>
        <v>296</v>
      </c>
      <c r="B419" s="66" t="str">
        <f t="shared" si="80"/>
        <v>H. Chợ Đồn</v>
      </c>
      <c r="C419" s="31" t="str">
        <f t="shared" si="88"/>
        <v>X. Đồng Thắng</v>
      </c>
      <c r="D419" s="34"/>
      <c r="E419" s="34" t="s">
        <v>36</v>
      </c>
      <c r="F419" s="31" t="s">
        <v>507</v>
      </c>
      <c r="G419" s="34"/>
      <c r="H419" s="34" t="str">
        <f>IF(LEFT('PL1(Full)'!$F419,4)="Thôn","Thôn","Tổ")</f>
        <v>Thôn</v>
      </c>
      <c r="I419" s="36">
        <v>45</v>
      </c>
      <c r="J419" s="36">
        <v>178</v>
      </c>
      <c r="K419" s="36">
        <v>45</v>
      </c>
      <c r="L419" s="37">
        <f t="shared" si="0"/>
        <v>100</v>
      </c>
      <c r="M419" s="36">
        <v>3</v>
      </c>
      <c r="N419" s="38">
        <f t="shared" si="1"/>
        <v>6.666666666666667</v>
      </c>
      <c r="O419" s="36">
        <v>3</v>
      </c>
      <c r="P419" s="38">
        <f t="shared" si="2"/>
        <v>100</v>
      </c>
      <c r="Q419" s="88" t="s">
        <v>158</v>
      </c>
      <c r="R419" s="88" t="str">
        <f t="shared" si="3"/>
        <v>X</v>
      </c>
      <c r="S419" s="32"/>
      <c r="T419" s="34" t="str">
        <f>IF('PL1(Full)'!$N419&gt;=20,"x",IF(AND('PL1(Full)'!$N419&gt;=15,'PL1(Full)'!$P419&gt;60),"x",""))</f>
        <v/>
      </c>
      <c r="U419" s="34" t="str">
        <f>IF(AND('PL1(Full)'!$H419="Thôn",'PL1(Full)'!$I419&lt;75),"x",IF(AND('PL1(Full)'!$H419="Tổ",'PL1(Full)'!$I419&lt;100),"x","-"))</f>
        <v>x</v>
      </c>
      <c r="V419" s="34" t="str">
        <f>IF(AND('PL1(Full)'!$H419="Thôn",'PL1(Full)'!$I419&lt;140),"x",IF(AND('PL1(Full)'!$H419="Tổ",'PL1(Full)'!$I419&lt;210),"x","-"))</f>
        <v>x</v>
      </c>
      <c r="W419" s="40" t="str">
        <f t="shared" si="81"/>
        <v>Loại 3</v>
      </c>
      <c r="X419" s="34"/>
    </row>
    <row r="420" spans="1:24" ht="15.75" customHeight="1">
      <c r="A420" s="30">
        <f>_xlfn.AGGREGATE(4,7,A$6:A419)+1</f>
        <v>297</v>
      </c>
      <c r="B420" s="66" t="str">
        <f t="shared" si="80"/>
        <v>H. Chợ Đồn</v>
      </c>
      <c r="C420" s="31" t="str">
        <f t="shared" si="88"/>
        <v>X. Đồng Thắng</v>
      </c>
      <c r="D420" s="34"/>
      <c r="E420" s="34" t="s">
        <v>36</v>
      </c>
      <c r="F420" s="31" t="s">
        <v>508</v>
      </c>
      <c r="G420" s="34"/>
      <c r="H420" s="34" t="str">
        <f>IF(LEFT('PL1(Full)'!$F420,4)="Thôn","Thôn","Tổ")</f>
        <v>Thôn</v>
      </c>
      <c r="I420" s="36">
        <v>40</v>
      </c>
      <c r="J420" s="36">
        <v>146</v>
      </c>
      <c r="K420" s="36">
        <v>40</v>
      </c>
      <c r="L420" s="37">
        <f t="shared" si="0"/>
        <v>100</v>
      </c>
      <c r="M420" s="36">
        <v>7</v>
      </c>
      <c r="N420" s="38">
        <f t="shared" si="1"/>
        <v>17.5</v>
      </c>
      <c r="O420" s="36">
        <v>7</v>
      </c>
      <c r="P420" s="38">
        <f t="shared" si="2"/>
        <v>100</v>
      </c>
      <c r="Q420" s="88" t="s">
        <v>158</v>
      </c>
      <c r="R420" s="88" t="str">
        <f t="shared" si="3"/>
        <v>X</v>
      </c>
      <c r="S420" s="32"/>
      <c r="T420" s="34" t="str">
        <f>IF('PL1(Full)'!$N420&gt;=20,"x",IF(AND('PL1(Full)'!$N420&gt;=15,'PL1(Full)'!$P420&gt;60),"x",""))</f>
        <v>x</v>
      </c>
      <c r="U420" s="34" t="str">
        <f>IF(AND('PL1(Full)'!$H420="Thôn",'PL1(Full)'!$I420&lt;75),"x",IF(AND('PL1(Full)'!$H420="Tổ",'PL1(Full)'!$I420&lt;100),"x","-"))</f>
        <v>x</v>
      </c>
      <c r="V420" s="34" t="str">
        <f>IF(AND('PL1(Full)'!$H420="Thôn",'PL1(Full)'!$I420&lt;140),"x",IF(AND('PL1(Full)'!$H420="Tổ",'PL1(Full)'!$I420&lt;210),"x","-"))</f>
        <v>x</v>
      </c>
      <c r="W420" s="40" t="str">
        <f t="shared" si="81"/>
        <v>Loại 3</v>
      </c>
      <c r="X420" s="34"/>
    </row>
    <row r="421" spans="1:24" ht="15.75" customHeight="1">
      <c r="A421" s="30">
        <f>_xlfn.AGGREGATE(4,7,A$6:A420)+1</f>
        <v>298</v>
      </c>
      <c r="B421" s="66" t="str">
        <f t="shared" si="80"/>
        <v>H. Chợ Đồn</v>
      </c>
      <c r="C421" s="31" t="str">
        <f t="shared" si="88"/>
        <v>X. Đồng Thắng</v>
      </c>
      <c r="D421" s="34"/>
      <c r="E421" s="34" t="s">
        <v>36</v>
      </c>
      <c r="F421" s="31" t="s">
        <v>136</v>
      </c>
      <c r="G421" s="34"/>
      <c r="H421" s="34" t="str">
        <f>IF(LEFT('PL1(Full)'!$F421,4)="Thôn","Thôn","Tổ")</f>
        <v>Thôn</v>
      </c>
      <c r="I421" s="36">
        <v>15</v>
      </c>
      <c r="J421" s="36">
        <v>70</v>
      </c>
      <c r="K421" s="36">
        <v>15</v>
      </c>
      <c r="L421" s="37">
        <f t="shared" si="0"/>
        <v>100</v>
      </c>
      <c r="M421" s="36">
        <v>2</v>
      </c>
      <c r="N421" s="38">
        <f t="shared" si="1"/>
        <v>13.333333333333334</v>
      </c>
      <c r="O421" s="36">
        <v>2</v>
      </c>
      <c r="P421" s="38">
        <f t="shared" si="2"/>
        <v>100</v>
      </c>
      <c r="Q421" s="88" t="s">
        <v>158</v>
      </c>
      <c r="R421" s="88" t="str">
        <f t="shared" si="3"/>
        <v>X</v>
      </c>
      <c r="S421" s="32" t="s">
        <v>60</v>
      </c>
      <c r="T421" s="34" t="str">
        <f>IF('PL1(Full)'!$N421&gt;=20,"x",IF(AND('PL1(Full)'!$N421&gt;=15,'PL1(Full)'!$P421&gt;60),"x",""))</f>
        <v/>
      </c>
      <c r="U421" s="34" t="str">
        <f>IF(AND('PL1(Full)'!$H421="Thôn",'PL1(Full)'!$I421&lt;75),"x",IF(AND('PL1(Full)'!$H421="Tổ",'PL1(Full)'!$I421&lt;100),"x","-"))</f>
        <v>x</v>
      </c>
      <c r="V421" s="34" t="str">
        <f>IF(AND('PL1(Full)'!$H421="Thôn",'PL1(Full)'!$I421&lt;140),"x",IF(AND('PL1(Full)'!$H421="Tổ",'PL1(Full)'!$I421&lt;210),"x","-"))</f>
        <v>x</v>
      </c>
      <c r="W421" s="40" t="str">
        <f t="shared" si="81"/>
        <v>Loại 3</v>
      </c>
      <c r="X421" s="34"/>
    </row>
    <row r="422" spans="1:24" ht="15.75" customHeight="1">
      <c r="A422" s="30">
        <f>_xlfn.AGGREGATE(4,7,A$6:A421)+1</f>
        <v>299</v>
      </c>
      <c r="B422" s="66" t="str">
        <f t="shared" si="80"/>
        <v>H. Chợ Đồn</v>
      </c>
      <c r="C422" s="31" t="str">
        <f t="shared" si="88"/>
        <v>X. Đồng Thắng</v>
      </c>
      <c r="D422" s="34"/>
      <c r="E422" s="34" t="s">
        <v>36</v>
      </c>
      <c r="F422" s="31" t="s">
        <v>509</v>
      </c>
      <c r="G422" s="34"/>
      <c r="H422" s="34" t="str">
        <f>IF(LEFT('PL1(Full)'!$F422,4)="Thôn","Thôn","Tổ")</f>
        <v>Thôn</v>
      </c>
      <c r="I422" s="36">
        <v>37</v>
      </c>
      <c r="J422" s="36">
        <v>152</v>
      </c>
      <c r="K422" s="36">
        <v>37</v>
      </c>
      <c r="L422" s="37">
        <f t="shared" si="0"/>
        <v>100</v>
      </c>
      <c r="M422" s="36">
        <v>4</v>
      </c>
      <c r="N422" s="38">
        <f t="shared" si="1"/>
        <v>10.810810810810811</v>
      </c>
      <c r="O422" s="36">
        <v>4</v>
      </c>
      <c r="P422" s="38">
        <f t="shared" si="2"/>
        <v>100</v>
      </c>
      <c r="Q422" s="88" t="s">
        <v>158</v>
      </c>
      <c r="R422" s="88" t="str">
        <f t="shared" si="3"/>
        <v>X</v>
      </c>
      <c r="S422" s="32"/>
      <c r="T422" s="34" t="str">
        <f>IF('PL1(Full)'!$N422&gt;=20,"x",IF(AND('PL1(Full)'!$N422&gt;=15,'PL1(Full)'!$P422&gt;60),"x",""))</f>
        <v/>
      </c>
      <c r="U422" s="34" t="str">
        <f>IF(AND('PL1(Full)'!$H422="Thôn",'PL1(Full)'!$I422&lt;75),"x",IF(AND('PL1(Full)'!$H422="Tổ",'PL1(Full)'!$I422&lt;100),"x","-"))</f>
        <v>x</v>
      </c>
      <c r="V422" s="34" t="str">
        <f>IF(AND('PL1(Full)'!$H422="Thôn",'PL1(Full)'!$I422&lt;140),"x",IF(AND('PL1(Full)'!$H422="Tổ",'PL1(Full)'!$I422&lt;210),"x","-"))</f>
        <v>x</v>
      </c>
      <c r="W422" s="40" t="str">
        <f t="shared" si="81"/>
        <v>Loại 3</v>
      </c>
      <c r="X422" s="34"/>
    </row>
    <row r="423" spans="1:24" ht="15.75" customHeight="1">
      <c r="A423" s="30">
        <f>_xlfn.AGGREGATE(4,7,A$6:A422)+1</f>
        <v>300</v>
      </c>
      <c r="B423" s="66" t="str">
        <f t="shared" si="80"/>
        <v>H. Chợ Đồn</v>
      </c>
      <c r="C423" s="31" t="str">
        <f t="shared" si="88"/>
        <v>X. Đồng Thắng</v>
      </c>
      <c r="D423" s="34"/>
      <c r="E423" s="34" t="s">
        <v>36</v>
      </c>
      <c r="F423" s="31" t="s">
        <v>510</v>
      </c>
      <c r="G423" s="34"/>
      <c r="H423" s="34" t="str">
        <f>IF(LEFT('PL1(Full)'!$F423,4)="Thôn","Thôn","Tổ")</f>
        <v>Thôn</v>
      </c>
      <c r="I423" s="36">
        <v>24</v>
      </c>
      <c r="J423" s="36">
        <v>105</v>
      </c>
      <c r="K423" s="36">
        <v>24</v>
      </c>
      <c r="L423" s="37">
        <f t="shared" si="0"/>
        <v>100</v>
      </c>
      <c r="M423" s="36">
        <v>1</v>
      </c>
      <c r="N423" s="38">
        <f t="shared" si="1"/>
        <v>4.166666666666667</v>
      </c>
      <c r="O423" s="36">
        <v>1</v>
      </c>
      <c r="P423" s="38">
        <f t="shared" si="2"/>
        <v>100</v>
      </c>
      <c r="Q423" s="88" t="s">
        <v>158</v>
      </c>
      <c r="R423" s="88" t="str">
        <f t="shared" si="3"/>
        <v>X</v>
      </c>
      <c r="S423" s="32"/>
      <c r="T423" s="34" t="str">
        <f>IF('PL1(Full)'!$N423&gt;=20,"x",IF(AND('PL1(Full)'!$N423&gt;=15,'PL1(Full)'!$P423&gt;60),"x",""))</f>
        <v/>
      </c>
      <c r="U423" s="34" t="str">
        <f>IF(AND('PL1(Full)'!$H423="Thôn",'PL1(Full)'!$I423&lt;75),"x",IF(AND('PL1(Full)'!$H423="Tổ",'PL1(Full)'!$I423&lt;100),"x","-"))</f>
        <v>x</v>
      </c>
      <c r="V423" s="34" t="str">
        <f>IF(AND('PL1(Full)'!$H423="Thôn",'PL1(Full)'!$I423&lt;140),"x",IF(AND('PL1(Full)'!$H423="Tổ",'PL1(Full)'!$I423&lt;210),"x","-"))</f>
        <v>x</v>
      </c>
      <c r="W423" s="40" t="str">
        <f t="shared" si="81"/>
        <v>Loại 3</v>
      </c>
      <c r="X423" s="34"/>
    </row>
    <row r="424" spans="1:24" ht="15.75" customHeight="1">
      <c r="A424" s="30">
        <f>_xlfn.AGGREGATE(4,7,A$6:A423)+1</f>
        <v>301</v>
      </c>
      <c r="B424" s="66" t="str">
        <f t="shared" si="80"/>
        <v>H. Chợ Đồn</v>
      </c>
      <c r="C424" s="31" t="str">
        <f t="shared" si="88"/>
        <v>X. Đồng Thắng</v>
      </c>
      <c r="D424" s="34"/>
      <c r="E424" s="34" t="s">
        <v>36</v>
      </c>
      <c r="F424" s="31" t="s">
        <v>511</v>
      </c>
      <c r="G424" s="34"/>
      <c r="H424" s="34" t="str">
        <f>IF(LEFT('PL1(Full)'!$F424,4)="Thôn","Thôn","Tổ")</f>
        <v>Thôn</v>
      </c>
      <c r="I424" s="36">
        <v>61</v>
      </c>
      <c r="J424" s="36">
        <v>246</v>
      </c>
      <c r="K424" s="36">
        <v>60</v>
      </c>
      <c r="L424" s="37">
        <f t="shared" si="0"/>
        <v>98.360655737704917</v>
      </c>
      <c r="M424" s="36">
        <v>2</v>
      </c>
      <c r="N424" s="38">
        <f t="shared" si="1"/>
        <v>3.278688524590164</v>
      </c>
      <c r="O424" s="36">
        <v>2</v>
      </c>
      <c r="P424" s="38">
        <f t="shared" si="2"/>
        <v>100</v>
      </c>
      <c r="Q424" s="88" t="s">
        <v>158</v>
      </c>
      <c r="R424" s="88" t="str">
        <f t="shared" si="3"/>
        <v>X</v>
      </c>
      <c r="S424" s="32"/>
      <c r="T424" s="34" t="str">
        <f>IF('PL1(Full)'!$N424&gt;=20,"x",IF(AND('PL1(Full)'!$N424&gt;=15,'PL1(Full)'!$P424&gt;60),"x",""))</f>
        <v/>
      </c>
      <c r="U424" s="34" t="str">
        <f>IF(AND('PL1(Full)'!$H424="Thôn",'PL1(Full)'!$I424&lt;75),"x",IF(AND('PL1(Full)'!$H424="Tổ",'PL1(Full)'!$I424&lt;100),"x","-"))</f>
        <v>x</v>
      </c>
      <c r="V424" s="34" t="str">
        <f>IF(AND('PL1(Full)'!$H424="Thôn",'PL1(Full)'!$I424&lt;140),"x",IF(AND('PL1(Full)'!$H424="Tổ",'PL1(Full)'!$I424&lt;210),"x","-"))</f>
        <v>x</v>
      </c>
      <c r="W424" s="40" t="str">
        <f t="shared" si="81"/>
        <v>Loại 3</v>
      </c>
      <c r="X424" s="34"/>
    </row>
    <row r="425" spans="1:24" ht="15.75" customHeight="1">
      <c r="A425" s="30">
        <f>_xlfn.AGGREGATE(4,7,A$6:A424)+1</f>
        <v>302</v>
      </c>
      <c r="B425" s="66" t="str">
        <f t="shared" si="80"/>
        <v>H. Chợ Đồn</v>
      </c>
      <c r="C425" s="31" t="str">
        <f t="shared" si="88"/>
        <v>X. Đồng Thắng</v>
      </c>
      <c r="D425" s="34"/>
      <c r="E425" s="34" t="s">
        <v>36</v>
      </c>
      <c r="F425" s="31" t="s">
        <v>512</v>
      </c>
      <c r="G425" s="34"/>
      <c r="H425" s="34" t="str">
        <f>IF(LEFT('PL1(Full)'!$F425,4)="Thôn","Thôn","Tổ")</f>
        <v>Thôn</v>
      </c>
      <c r="I425" s="36">
        <v>40</v>
      </c>
      <c r="J425" s="36">
        <v>167</v>
      </c>
      <c r="K425" s="36">
        <v>38</v>
      </c>
      <c r="L425" s="37">
        <f t="shared" si="0"/>
        <v>95</v>
      </c>
      <c r="M425" s="36">
        <v>3</v>
      </c>
      <c r="N425" s="38">
        <f t="shared" si="1"/>
        <v>7.5</v>
      </c>
      <c r="O425" s="36">
        <v>3</v>
      </c>
      <c r="P425" s="38">
        <f t="shared" si="2"/>
        <v>100</v>
      </c>
      <c r="Q425" s="88" t="s">
        <v>56</v>
      </c>
      <c r="R425" s="88" t="str">
        <f t="shared" si="3"/>
        <v>X</v>
      </c>
      <c r="S425" s="32"/>
      <c r="T425" s="34" t="str">
        <f>IF('PL1(Full)'!$N425&gt;=20,"x",IF(AND('PL1(Full)'!$N425&gt;=15,'PL1(Full)'!$P425&gt;60),"x",""))</f>
        <v/>
      </c>
      <c r="U425" s="34" t="str">
        <f>IF(AND('PL1(Full)'!$H425="Thôn",'PL1(Full)'!$I425&lt;75),"x",IF(AND('PL1(Full)'!$H425="Tổ",'PL1(Full)'!$I425&lt;100),"x","-"))</f>
        <v>x</v>
      </c>
      <c r="V425" s="34" t="str">
        <f>IF(AND('PL1(Full)'!$H425="Thôn",'PL1(Full)'!$I425&lt;140),"x",IF(AND('PL1(Full)'!$H425="Tổ",'PL1(Full)'!$I425&lt;210),"x","-"))</f>
        <v>x</v>
      </c>
      <c r="W425" s="40" t="str">
        <f t="shared" si="81"/>
        <v>Loại 3</v>
      </c>
      <c r="X425" s="34"/>
    </row>
    <row r="426" spans="1:24" ht="15.75" customHeight="1">
      <c r="A426" s="41">
        <f>_xlfn.AGGREGATE(4,7,A$6:A425)+1</f>
        <v>303</v>
      </c>
      <c r="B426" s="67" t="str">
        <f t="shared" si="80"/>
        <v>H. Chợ Đồn</v>
      </c>
      <c r="C426" s="42" t="str">
        <f t="shared" si="88"/>
        <v>X. Đồng Thắng</v>
      </c>
      <c r="D426" s="50"/>
      <c r="E426" s="50" t="s">
        <v>36</v>
      </c>
      <c r="F426" s="42" t="s">
        <v>513</v>
      </c>
      <c r="G426" s="50"/>
      <c r="H426" s="50" t="str">
        <f>IF(LEFT('PL1(Full)'!$F426,4)="Thôn","Thôn","Tổ")</f>
        <v>Thôn</v>
      </c>
      <c r="I426" s="46">
        <v>32</v>
      </c>
      <c r="J426" s="46">
        <v>133</v>
      </c>
      <c r="K426" s="46">
        <v>29</v>
      </c>
      <c r="L426" s="47">
        <f t="shared" si="0"/>
        <v>90.625</v>
      </c>
      <c r="M426" s="46">
        <v>7</v>
      </c>
      <c r="N426" s="48">
        <f t="shared" si="1"/>
        <v>21.875</v>
      </c>
      <c r="O426" s="46">
        <v>7</v>
      </c>
      <c r="P426" s="48">
        <f t="shared" si="2"/>
        <v>100</v>
      </c>
      <c r="Q426" s="88" t="s">
        <v>158</v>
      </c>
      <c r="R426" s="89" t="str">
        <f t="shared" si="3"/>
        <v>X</v>
      </c>
      <c r="S426" s="43" t="s">
        <v>60</v>
      </c>
      <c r="T426" s="50" t="str">
        <f>IF('PL1(Full)'!$N426&gt;=20,"x",IF(AND('PL1(Full)'!$N426&gt;=15,'PL1(Full)'!$P426&gt;60),"x",""))</f>
        <v>x</v>
      </c>
      <c r="U426" s="50" t="str">
        <f>IF(AND('PL1(Full)'!$H426="Thôn",'PL1(Full)'!$I426&lt;75),"x",IF(AND('PL1(Full)'!$H426="Tổ",'PL1(Full)'!$I426&lt;100),"x","-"))</f>
        <v>x</v>
      </c>
      <c r="V426" s="34" t="str">
        <f>IF(AND('PL1(Full)'!$H426="Thôn",'PL1(Full)'!$I426&lt;140),"x",IF(AND('PL1(Full)'!$H426="Tổ",'PL1(Full)'!$I426&lt;210),"x","-"))</f>
        <v>x</v>
      </c>
      <c r="W426" s="51" t="str">
        <f t="shared" si="81"/>
        <v>Loại 3</v>
      </c>
      <c r="X426" s="50"/>
    </row>
    <row r="427" spans="1:24" ht="15.75" customHeight="1">
      <c r="A427" s="52">
        <f>_xlfn.AGGREGATE(4,7,A$6:A426)+1</f>
        <v>304</v>
      </c>
      <c r="B427" s="65" t="str">
        <f t="shared" si="80"/>
        <v>H. Chợ Đồn</v>
      </c>
      <c r="C427" s="14" t="s">
        <v>514</v>
      </c>
      <c r="D427" s="25" t="s">
        <v>36</v>
      </c>
      <c r="E427" s="25" t="s">
        <v>36</v>
      </c>
      <c r="F427" s="14" t="s">
        <v>457</v>
      </c>
      <c r="G427" s="25"/>
      <c r="H427" s="25" t="str">
        <f>IF(LEFT('PL1(Full)'!$F427,4)="Thôn","Thôn","Tổ")</f>
        <v>Thôn</v>
      </c>
      <c r="I427" s="20">
        <v>45</v>
      </c>
      <c r="J427" s="20">
        <v>183</v>
      </c>
      <c r="K427" s="20">
        <v>43</v>
      </c>
      <c r="L427" s="21">
        <f t="shared" si="0"/>
        <v>95.555555555555557</v>
      </c>
      <c r="M427" s="20">
        <v>3</v>
      </c>
      <c r="N427" s="22">
        <f t="shared" si="1"/>
        <v>6.666666666666667</v>
      </c>
      <c r="O427" s="20">
        <v>3</v>
      </c>
      <c r="P427" s="22">
        <f t="shared" si="2"/>
        <v>100</v>
      </c>
      <c r="Q427" s="87" t="s">
        <v>56</v>
      </c>
      <c r="R427" s="87" t="str">
        <f t="shared" si="3"/>
        <v>X</v>
      </c>
      <c r="S427" s="18"/>
      <c r="T427" s="26"/>
      <c r="U427" s="27" t="str">
        <f>IF(AND('PL1(Full)'!$H427="Thôn",'PL1(Full)'!$I427&lt;75),"x",IF(AND('PL1(Full)'!$H427="Tổ",'PL1(Full)'!$I427&lt;100),"x","-"))</f>
        <v>x</v>
      </c>
      <c r="V427" s="28" t="str">
        <f>IF(AND('PL1(Full)'!$H427="Thôn",'PL1(Full)'!$I427&lt;140),"x",IF(AND('PL1(Full)'!$H427="Tổ",'PL1(Full)'!$I427&lt;210),"x","-"))</f>
        <v>x</v>
      </c>
      <c r="W427" s="29" t="str">
        <f t="shared" si="81"/>
        <v>Loại 3</v>
      </c>
      <c r="X427" s="25"/>
    </row>
    <row r="428" spans="1:24" ht="15.75" customHeight="1">
      <c r="A428" s="30">
        <f>_xlfn.AGGREGATE(4,7,A$6:A427)+1</f>
        <v>305</v>
      </c>
      <c r="B428" s="66" t="str">
        <f t="shared" si="80"/>
        <v>H. Chợ Đồn</v>
      </c>
      <c r="C428" s="31" t="str">
        <f t="shared" ref="C428:C441" si="89">C427</f>
        <v>X. Lương Bằng</v>
      </c>
      <c r="D428" s="34"/>
      <c r="E428" s="34" t="s">
        <v>36</v>
      </c>
      <c r="F428" s="31" t="s">
        <v>515</v>
      </c>
      <c r="G428" s="34"/>
      <c r="H428" s="34" t="str">
        <f>IF(LEFT('PL1(Full)'!$F428,4)="Thôn","Thôn","Tổ")</f>
        <v>Thôn</v>
      </c>
      <c r="I428" s="36">
        <v>37</v>
      </c>
      <c r="J428" s="36">
        <v>148</v>
      </c>
      <c r="K428" s="36">
        <v>37</v>
      </c>
      <c r="L428" s="37">
        <f t="shared" si="0"/>
        <v>100</v>
      </c>
      <c r="M428" s="36">
        <v>4</v>
      </c>
      <c r="N428" s="38">
        <f t="shared" si="1"/>
        <v>10.810810810810811</v>
      </c>
      <c r="O428" s="36">
        <v>3</v>
      </c>
      <c r="P428" s="38">
        <f t="shared" si="2"/>
        <v>75</v>
      </c>
      <c r="Q428" s="88" t="s">
        <v>56</v>
      </c>
      <c r="R428" s="88" t="str">
        <f t="shared" si="3"/>
        <v>X</v>
      </c>
      <c r="S428" s="32"/>
      <c r="T428" s="34" t="str">
        <f>IF('PL1(Full)'!$N428&gt;=20,"x",IF(AND('PL1(Full)'!$N428&gt;=15,'PL1(Full)'!$P428&gt;60),"x",""))</f>
        <v/>
      </c>
      <c r="U428" s="34" t="str">
        <f>IF(AND('PL1(Full)'!$H428="Thôn",'PL1(Full)'!$I428&lt;75),"x",IF(AND('PL1(Full)'!$H428="Tổ",'PL1(Full)'!$I428&lt;100),"x","-"))</f>
        <v>x</v>
      </c>
      <c r="V428" s="34" t="str">
        <f>IF(AND('PL1(Full)'!$H428="Thôn",'PL1(Full)'!$I428&lt;140),"x",IF(AND('PL1(Full)'!$H428="Tổ",'PL1(Full)'!$I428&lt;210),"x","-"))</f>
        <v>x</v>
      </c>
      <c r="W428" s="40" t="str">
        <f t="shared" si="81"/>
        <v>Loại 3</v>
      </c>
      <c r="X428" s="34"/>
    </row>
    <row r="429" spans="1:24" ht="15.75" customHeight="1">
      <c r="A429" s="30">
        <f>_xlfn.AGGREGATE(4,7,A$6:A428)+1</f>
        <v>306</v>
      </c>
      <c r="B429" s="66" t="str">
        <f t="shared" si="80"/>
        <v>H. Chợ Đồn</v>
      </c>
      <c r="C429" s="31" t="str">
        <f t="shared" si="89"/>
        <v>X. Lương Bằng</v>
      </c>
      <c r="D429" s="34"/>
      <c r="E429" s="34" t="s">
        <v>36</v>
      </c>
      <c r="F429" s="31" t="s">
        <v>516</v>
      </c>
      <c r="G429" s="34"/>
      <c r="H429" s="34" t="str">
        <f>IF(LEFT('PL1(Full)'!$F429,4)="Thôn","Thôn","Tổ")</f>
        <v>Thôn</v>
      </c>
      <c r="I429" s="36">
        <v>42</v>
      </c>
      <c r="J429" s="36">
        <v>162</v>
      </c>
      <c r="K429" s="36">
        <v>42</v>
      </c>
      <c r="L429" s="37">
        <f t="shared" si="0"/>
        <v>100</v>
      </c>
      <c r="M429" s="36">
        <v>3</v>
      </c>
      <c r="N429" s="38">
        <f t="shared" si="1"/>
        <v>7.1428571428571432</v>
      </c>
      <c r="O429" s="36">
        <v>3</v>
      </c>
      <c r="P429" s="38">
        <f t="shared" si="2"/>
        <v>100</v>
      </c>
      <c r="Q429" s="88" t="s">
        <v>52</v>
      </c>
      <c r="R429" s="88" t="str">
        <f t="shared" si="3"/>
        <v>C</v>
      </c>
      <c r="S429" s="32"/>
      <c r="T429" s="34" t="str">
        <f>IF('PL1(Full)'!$N429&gt;=20,"x",IF(AND('PL1(Full)'!$N429&gt;=15,'PL1(Full)'!$P429&gt;60),"x",""))</f>
        <v/>
      </c>
      <c r="U429" s="34" t="str">
        <f>IF(AND('PL1(Full)'!$H429="Thôn",'PL1(Full)'!$I429&lt;75),"x",IF(AND('PL1(Full)'!$H429="Tổ",'PL1(Full)'!$I429&lt;100),"x","-"))</f>
        <v>x</v>
      </c>
      <c r="V429" s="34" t="str">
        <f>IF(AND('PL1(Full)'!$H429="Thôn",'PL1(Full)'!$I429&lt;140),"x",IF(AND('PL1(Full)'!$H429="Tổ",'PL1(Full)'!$I429&lt;210),"x","-"))</f>
        <v>x</v>
      </c>
      <c r="W429" s="40" t="str">
        <f t="shared" si="81"/>
        <v>Loại 3</v>
      </c>
      <c r="X429" s="34"/>
    </row>
    <row r="430" spans="1:24" ht="15.75" customHeight="1">
      <c r="A430" s="30">
        <f>_xlfn.AGGREGATE(4,7,A$6:A429)+1</f>
        <v>307</v>
      </c>
      <c r="B430" s="66" t="str">
        <f t="shared" si="80"/>
        <v>H. Chợ Đồn</v>
      </c>
      <c r="C430" s="31" t="str">
        <f t="shared" si="89"/>
        <v>X. Lương Bằng</v>
      </c>
      <c r="D430" s="34"/>
      <c r="E430" s="34" t="s">
        <v>36</v>
      </c>
      <c r="F430" s="31" t="s">
        <v>517</v>
      </c>
      <c r="G430" s="34"/>
      <c r="H430" s="34" t="str">
        <f>IF(LEFT('PL1(Full)'!$F430,4)="Thôn","Thôn","Tổ")</f>
        <v>Thôn</v>
      </c>
      <c r="I430" s="36">
        <v>55</v>
      </c>
      <c r="J430" s="36">
        <v>238</v>
      </c>
      <c r="K430" s="36">
        <v>54</v>
      </c>
      <c r="L430" s="37">
        <f t="shared" si="0"/>
        <v>98.181818181818187</v>
      </c>
      <c r="M430" s="36">
        <v>6</v>
      </c>
      <c r="N430" s="38">
        <f t="shared" si="1"/>
        <v>10.909090909090908</v>
      </c>
      <c r="O430" s="36">
        <v>6</v>
      </c>
      <c r="P430" s="38">
        <f t="shared" si="2"/>
        <v>100</v>
      </c>
      <c r="Q430" s="88" t="s">
        <v>52</v>
      </c>
      <c r="R430" s="88" t="str">
        <f t="shared" si="3"/>
        <v>C</v>
      </c>
      <c r="S430" s="32"/>
      <c r="T430" s="34" t="str">
        <f>IF('PL1(Full)'!$N430&gt;=20,"x",IF(AND('PL1(Full)'!$N430&gt;=15,'PL1(Full)'!$P430&gt;60),"x",""))</f>
        <v/>
      </c>
      <c r="U430" s="34" t="str">
        <f>IF(AND('PL1(Full)'!$H430="Thôn",'PL1(Full)'!$I430&lt;75),"x",IF(AND('PL1(Full)'!$H430="Tổ",'PL1(Full)'!$I430&lt;100),"x","-"))</f>
        <v>x</v>
      </c>
      <c r="V430" s="34" t="str">
        <f>IF(AND('PL1(Full)'!$H430="Thôn",'PL1(Full)'!$I430&lt;140),"x",IF(AND('PL1(Full)'!$H430="Tổ",'PL1(Full)'!$I430&lt;210),"x","-"))</f>
        <v>x</v>
      </c>
      <c r="W430" s="40" t="str">
        <f t="shared" si="81"/>
        <v>Loại 3</v>
      </c>
      <c r="X430" s="34"/>
    </row>
    <row r="431" spans="1:24" ht="15.75" customHeight="1">
      <c r="A431" s="30">
        <f>_xlfn.AGGREGATE(4,7,A$6:A430)+1</f>
        <v>308</v>
      </c>
      <c r="B431" s="66" t="str">
        <f t="shared" si="80"/>
        <v>H. Chợ Đồn</v>
      </c>
      <c r="C431" s="31" t="str">
        <f t="shared" si="89"/>
        <v>X. Lương Bằng</v>
      </c>
      <c r="D431" s="34"/>
      <c r="E431" s="34" t="s">
        <v>36</v>
      </c>
      <c r="F431" s="31" t="s">
        <v>518</v>
      </c>
      <c r="G431" s="34"/>
      <c r="H431" s="34" t="str">
        <f>IF(LEFT('PL1(Full)'!$F431,4)="Thôn","Thôn","Tổ")</f>
        <v>Thôn</v>
      </c>
      <c r="I431" s="36">
        <v>49</v>
      </c>
      <c r="J431" s="36">
        <v>223</v>
      </c>
      <c r="K431" s="36">
        <v>47</v>
      </c>
      <c r="L431" s="37">
        <f t="shared" si="0"/>
        <v>95.91836734693878</v>
      </c>
      <c r="M431" s="36">
        <v>6</v>
      </c>
      <c r="N431" s="38">
        <f t="shared" si="1"/>
        <v>12.244897959183673</v>
      </c>
      <c r="O431" s="36">
        <v>6</v>
      </c>
      <c r="P431" s="38">
        <f t="shared" si="2"/>
        <v>100</v>
      </c>
      <c r="Q431" s="88" t="s">
        <v>56</v>
      </c>
      <c r="R431" s="88" t="str">
        <f t="shared" si="3"/>
        <v>X</v>
      </c>
      <c r="S431" s="32"/>
      <c r="T431" s="34" t="str">
        <f>IF('PL1(Full)'!$N431&gt;=20,"x",IF(AND('PL1(Full)'!$N431&gt;=15,'PL1(Full)'!$P431&gt;60),"x",""))</f>
        <v/>
      </c>
      <c r="U431" s="34" t="str">
        <f>IF(AND('PL1(Full)'!$H431="Thôn",'PL1(Full)'!$I431&lt;75),"x",IF(AND('PL1(Full)'!$H431="Tổ",'PL1(Full)'!$I431&lt;100),"x","-"))</f>
        <v>x</v>
      </c>
      <c r="V431" s="34" t="str">
        <f>IF(AND('PL1(Full)'!$H431="Thôn",'PL1(Full)'!$I431&lt;140),"x",IF(AND('PL1(Full)'!$H431="Tổ",'PL1(Full)'!$I431&lt;210),"x","-"))</f>
        <v>x</v>
      </c>
      <c r="W431" s="40" t="str">
        <f t="shared" si="81"/>
        <v>Loại 3</v>
      </c>
      <c r="X431" s="34"/>
    </row>
    <row r="432" spans="1:24" ht="15.75" customHeight="1">
      <c r="A432" s="30">
        <f>_xlfn.AGGREGATE(4,7,A$6:A431)+1</f>
        <v>309</v>
      </c>
      <c r="B432" s="66" t="str">
        <f t="shared" si="80"/>
        <v>H. Chợ Đồn</v>
      </c>
      <c r="C432" s="31" t="str">
        <f t="shared" si="89"/>
        <v>X. Lương Bằng</v>
      </c>
      <c r="D432" s="34"/>
      <c r="E432" s="34" t="s">
        <v>36</v>
      </c>
      <c r="F432" s="31" t="s">
        <v>519</v>
      </c>
      <c r="G432" s="34"/>
      <c r="H432" s="34" t="str">
        <f>IF(LEFT('PL1(Full)'!$F432,4)="Thôn","Thôn","Tổ")</f>
        <v>Thôn</v>
      </c>
      <c r="I432" s="36">
        <v>62</v>
      </c>
      <c r="J432" s="36">
        <v>262</v>
      </c>
      <c r="K432" s="36">
        <v>61</v>
      </c>
      <c r="L432" s="37">
        <f t="shared" si="0"/>
        <v>98.387096774193552</v>
      </c>
      <c r="M432" s="36">
        <v>9</v>
      </c>
      <c r="N432" s="38">
        <f t="shared" si="1"/>
        <v>14.516129032258064</v>
      </c>
      <c r="O432" s="36">
        <v>9</v>
      </c>
      <c r="P432" s="38">
        <f t="shared" si="2"/>
        <v>100</v>
      </c>
      <c r="Q432" s="88" t="s">
        <v>56</v>
      </c>
      <c r="R432" s="88" t="str">
        <f t="shared" si="3"/>
        <v>X</v>
      </c>
      <c r="S432" s="32"/>
      <c r="T432" s="34" t="str">
        <f>IF('PL1(Full)'!$N432&gt;=20,"x",IF(AND('PL1(Full)'!$N432&gt;=15,'PL1(Full)'!$P432&gt;60),"x",""))</f>
        <v/>
      </c>
      <c r="U432" s="34" t="str">
        <f>IF(AND('PL1(Full)'!$H432="Thôn",'PL1(Full)'!$I432&lt;75),"x",IF(AND('PL1(Full)'!$H432="Tổ",'PL1(Full)'!$I432&lt;100),"x","-"))</f>
        <v>x</v>
      </c>
      <c r="V432" s="34" t="str">
        <f>IF(AND('PL1(Full)'!$H432="Thôn",'PL1(Full)'!$I432&lt;140),"x",IF(AND('PL1(Full)'!$H432="Tổ",'PL1(Full)'!$I432&lt;210),"x","-"))</f>
        <v>x</v>
      </c>
      <c r="W432" s="40" t="str">
        <f t="shared" si="81"/>
        <v>Loại 3</v>
      </c>
      <c r="X432" s="34"/>
    </row>
    <row r="433" spans="1:24" ht="15.75" customHeight="1">
      <c r="A433" s="30">
        <f>_xlfn.AGGREGATE(4,7,A$6:A432)+1</f>
        <v>310</v>
      </c>
      <c r="B433" s="66" t="str">
        <f t="shared" si="80"/>
        <v>H. Chợ Đồn</v>
      </c>
      <c r="C433" s="31" t="str">
        <f t="shared" si="89"/>
        <v>X. Lương Bằng</v>
      </c>
      <c r="D433" s="34"/>
      <c r="E433" s="34" t="s">
        <v>36</v>
      </c>
      <c r="F433" s="31" t="s">
        <v>520</v>
      </c>
      <c r="G433" s="34"/>
      <c r="H433" s="34" t="str">
        <f>IF(LEFT('PL1(Full)'!$F433,4)="Thôn","Thôn","Tổ")</f>
        <v>Thôn</v>
      </c>
      <c r="I433" s="36">
        <v>52</v>
      </c>
      <c r="J433" s="36">
        <v>234</v>
      </c>
      <c r="K433" s="36">
        <v>52</v>
      </c>
      <c r="L433" s="37">
        <f t="shared" si="0"/>
        <v>100</v>
      </c>
      <c r="M433" s="36">
        <v>4</v>
      </c>
      <c r="N433" s="38">
        <f t="shared" si="1"/>
        <v>7.6923076923076925</v>
      </c>
      <c r="O433" s="36">
        <v>4</v>
      </c>
      <c r="P433" s="38">
        <f t="shared" si="2"/>
        <v>100</v>
      </c>
      <c r="Q433" s="88" t="s">
        <v>52</v>
      </c>
      <c r="R433" s="88" t="str">
        <f t="shared" si="3"/>
        <v>C</v>
      </c>
      <c r="S433" s="32"/>
      <c r="T433" s="34"/>
      <c r="U433" s="34" t="str">
        <f>IF(AND('PL1(Full)'!$H433="Thôn",'PL1(Full)'!$I433&lt;75),"x",IF(AND('PL1(Full)'!$H433="Tổ",'PL1(Full)'!$I433&lt;100),"x","-"))</f>
        <v>x</v>
      </c>
      <c r="V433" s="34" t="str">
        <f>IF(AND('PL1(Full)'!$H433="Thôn",'PL1(Full)'!$I433&lt;140),"x",IF(AND('PL1(Full)'!$H433="Tổ",'PL1(Full)'!$I433&lt;210),"x","-"))</f>
        <v>x</v>
      </c>
      <c r="W433" s="40" t="str">
        <f t="shared" si="81"/>
        <v>Loại 3</v>
      </c>
      <c r="X433" s="34"/>
    </row>
    <row r="434" spans="1:24" ht="15.75" customHeight="1">
      <c r="A434" s="30">
        <f>_xlfn.AGGREGATE(4,7,A$6:A433)+1</f>
        <v>311</v>
      </c>
      <c r="B434" s="66" t="str">
        <f t="shared" si="80"/>
        <v>H. Chợ Đồn</v>
      </c>
      <c r="C434" s="31" t="str">
        <f t="shared" si="89"/>
        <v>X. Lương Bằng</v>
      </c>
      <c r="D434" s="34"/>
      <c r="E434" s="34" t="s">
        <v>36</v>
      </c>
      <c r="F434" s="31" t="s">
        <v>521</v>
      </c>
      <c r="G434" s="34"/>
      <c r="H434" s="34" t="str">
        <f>IF(LEFT('PL1(Full)'!$F434,4)="Thôn","Thôn","Tổ")</f>
        <v>Thôn</v>
      </c>
      <c r="I434" s="36">
        <v>20</v>
      </c>
      <c r="J434" s="36">
        <v>86</v>
      </c>
      <c r="K434" s="36">
        <v>20</v>
      </c>
      <c r="L434" s="37">
        <f t="shared" si="0"/>
        <v>100</v>
      </c>
      <c r="M434" s="36">
        <v>7</v>
      </c>
      <c r="N434" s="38">
        <f t="shared" si="1"/>
        <v>35</v>
      </c>
      <c r="O434" s="36">
        <v>7</v>
      </c>
      <c r="P434" s="38">
        <f t="shared" si="2"/>
        <v>100</v>
      </c>
      <c r="Q434" s="88" t="s">
        <v>52</v>
      </c>
      <c r="R434" s="88" t="str">
        <f t="shared" si="3"/>
        <v>C</v>
      </c>
      <c r="S434" s="32" t="s">
        <v>60</v>
      </c>
      <c r="T434" s="34" t="str">
        <f>IF('PL1(Full)'!$N434&gt;=20,"x",IF(AND('PL1(Full)'!$N434&gt;=15,'PL1(Full)'!$P434&gt;60),"x",""))</f>
        <v>x</v>
      </c>
      <c r="U434" s="34" t="str">
        <f>IF(AND('PL1(Full)'!$H434="Thôn",'PL1(Full)'!$I434&lt;75),"x",IF(AND('PL1(Full)'!$H434="Tổ",'PL1(Full)'!$I434&lt;100),"x","-"))</f>
        <v>x</v>
      </c>
      <c r="V434" s="34" t="str">
        <f>IF(AND('PL1(Full)'!$H434="Thôn",'PL1(Full)'!$I434&lt;140),"x",IF(AND('PL1(Full)'!$H434="Tổ",'PL1(Full)'!$I434&lt;210),"x","-"))</f>
        <v>x</v>
      </c>
      <c r="W434" s="40" t="str">
        <f t="shared" si="81"/>
        <v>Loại 3</v>
      </c>
      <c r="X434" s="34"/>
    </row>
    <row r="435" spans="1:24" ht="15.75" customHeight="1">
      <c r="A435" s="30">
        <f>_xlfn.AGGREGATE(4,7,A$6:A434)+1</f>
        <v>312</v>
      </c>
      <c r="B435" s="66" t="str">
        <f t="shared" si="80"/>
        <v>H. Chợ Đồn</v>
      </c>
      <c r="C435" s="31" t="str">
        <f t="shared" si="89"/>
        <v>X. Lương Bằng</v>
      </c>
      <c r="D435" s="34"/>
      <c r="E435" s="34" t="s">
        <v>36</v>
      </c>
      <c r="F435" s="31" t="s">
        <v>522</v>
      </c>
      <c r="G435" s="34"/>
      <c r="H435" s="34" t="str">
        <f>IF(LEFT('PL1(Full)'!$F435,4)="Thôn","Thôn","Tổ")</f>
        <v>Thôn</v>
      </c>
      <c r="I435" s="36">
        <v>24</v>
      </c>
      <c r="J435" s="36">
        <v>99</v>
      </c>
      <c r="K435" s="36">
        <v>24</v>
      </c>
      <c r="L435" s="37">
        <f t="shared" si="0"/>
        <v>100</v>
      </c>
      <c r="M435" s="36">
        <v>2</v>
      </c>
      <c r="N435" s="38">
        <f t="shared" si="1"/>
        <v>8.3333333333333339</v>
      </c>
      <c r="O435" s="36">
        <v>2</v>
      </c>
      <c r="P435" s="38">
        <f t="shared" si="2"/>
        <v>100</v>
      </c>
      <c r="Q435" s="88" t="s">
        <v>63</v>
      </c>
      <c r="R435" s="88" t="str">
        <f t="shared" si="3"/>
        <v>X</v>
      </c>
      <c r="S435" s="32"/>
      <c r="T435" s="34" t="str">
        <f>IF('PL1(Full)'!$N435&gt;=20,"x",IF(AND('PL1(Full)'!$N435&gt;=15,'PL1(Full)'!$P435&gt;60),"x",""))</f>
        <v/>
      </c>
      <c r="U435" s="34" t="str">
        <f>IF(AND('PL1(Full)'!$H435="Thôn",'PL1(Full)'!$I435&lt;75),"x",IF(AND('PL1(Full)'!$H435="Tổ",'PL1(Full)'!$I435&lt;100),"x","-"))</f>
        <v>x</v>
      </c>
      <c r="V435" s="34" t="str">
        <f>IF(AND('PL1(Full)'!$H435="Thôn",'PL1(Full)'!$I435&lt;140),"x",IF(AND('PL1(Full)'!$H435="Tổ",'PL1(Full)'!$I435&lt;210),"x","-"))</f>
        <v>x</v>
      </c>
      <c r="W435" s="40" t="str">
        <f t="shared" si="81"/>
        <v>Loại 3</v>
      </c>
      <c r="X435" s="34"/>
    </row>
    <row r="436" spans="1:24" ht="15.75" customHeight="1">
      <c r="A436" s="30">
        <f>_xlfn.AGGREGATE(4,7,A$6:A435)+1</f>
        <v>313</v>
      </c>
      <c r="B436" s="66" t="str">
        <f t="shared" si="80"/>
        <v>H. Chợ Đồn</v>
      </c>
      <c r="C436" s="31" t="str">
        <f t="shared" si="89"/>
        <v>X. Lương Bằng</v>
      </c>
      <c r="D436" s="34"/>
      <c r="E436" s="34" t="s">
        <v>36</v>
      </c>
      <c r="F436" s="31" t="s">
        <v>523</v>
      </c>
      <c r="G436" s="34"/>
      <c r="H436" s="34" t="str">
        <f>IF(LEFT('PL1(Full)'!$F436,4)="Thôn","Thôn","Tổ")</f>
        <v>Thôn</v>
      </c>
      <c r="I436" s="36">
        <v>14</v>
      </c>
      <c r="J436" s="36">
        <v>62</v>
      </c>
      <c r="K436" s="36">
        <v>14</v>
      </c>
      <c r="L436" s="37">
        <f t="shared" si="0"/>
        <v>100</v>
      </c>
      <c r="M436" s="36">
        <v>5</v>
      </c>
      <c r="N436" s="38">
        <f t="shared" si="1"/>
        <v>35.714285714285715</v>
      </c>
      <c r="O436" s="36">
        <v>5</v>
      </c>
      <c r="P436" s="38">
        <f t="shared" si="2"/>
        <v>100</v>
      </c>
      <c r="Q436" s="88" t="s">
        <v>52</v>
      </c>
      <c r="R436" s="88" t="str">
        <f t="shared" si="3"/>
        <v>C</v>
      </c>
      <c r="S436" s="32"/>
      <c r="T436" s="34" t="str">
        <f>IF('PL1(Full)'!$N436&gt;=20,"x",IF(AND('PL1(Full)'!$N436&gt;=15,'PL1(Full)'!$P436&gt;60),"x",""))</f>
        <v>x</v>
      </c>
      <c r="U436" s="34" t="str">
        <f>IF(AND('PL1(Full)'!$H436="Thôn",'PL1(Full)'!$I436&lt;75),"x",IF(AND('PL1(Full)'!$H436="Tổ",'PL1(Full)'!$I436&lt;100),"x","-"))</f>
        <v>x</v>
      </c>
      <c r="V436" s="34" t="str">
        <f>IF(AND('PL1(Full)'!$H436="Thôn",'PL1(Full)'!$I436&lt;140),"x",IF(AND('PL1(Full)'!$H436="Tổ",'PL1(Full)'!$I436&lt;210),"x","-"))</f>
        <v>x</v>
      </c>
      <c r="W436" s="40" t="str">
        <f t="shared" si="81"/>
        <v>Loại 3</v>
      </c>
      <c r="X436" s="34"/>
    </row>
    <row r="437" spans="1:24" ht="15.75" customHeight="1">
      <c r="A437" s="30">
        <f>_xlfn.AGGREGATE(4,7,A$6:A436)+1</f>
        <v>314</v>
      </c>
      <c r="B437" s="66" t="str">
        <f t="shared" si="80"/>
        <v>H. Chợ Đồn</v>
      </c>
      <c r="C437" s="31" t="str">
        <f t="shared" si="89"/>
        <v>X. Lương Bằng</v>
      </c>
      <c r="D437" s="34"/>
      <c r="E437" s="34" t="s">
        <v>36</v>
      </c>
      <c r="F437" s="31" t="s">
        <v>524</v>
      </c>
      <c r="G437" s="34"/>
      <c r="H437" s="34" t="str">
        <f>IF(LEFT('PL1(Full)'!$F437,4)="Thôn","Thôn","Tổ")</f>
        <v>Thôn</v>
      </c>
      <c r="I437" s="36">
        <v>45</v>
      </c>
      <c r="J437" s="36">
        <v>177</v>
      </c>
      <c r="K437" s="36">
        <v>45</v>
      </c>
      <c r="L437" s="37">
        <f t="shared" si="0"/>
        <v>100</v>
      </c>
      <c r="M437" s="36">
        <v>3</v>
      </c>
      <c r="N437" s="38">
        <f t="shared" si="1"/>
        <v>6.666666666666667</v>
      </c>
      <c r="O437" s="36">
        <v>2</v>
      </c>
      <c r="P437" s="38">
        <f t="shared" si="2"/>
        <v>66.666666666666671</v>
      </c>
      <c r="Q437" s="88" t="s">
        <v>56</v>
      </c>
      <c r="R437" s="88" t="str">
        <f t="shared" si="3"/>
        <v>X</v>
      </c>
      <c r="S437" s="32"/>
      <c r="T437" s="34" t="str">
        <f>IF('PL1(Full)'!$N437&gt;=20,"x",IF(AND('PL1(Full)'!$N437&gt;=15,'PL1(Full)'!$P437&gt;60),"x",""))</f>
        <v/>
      </c>
      <c r="U437" s="34" t="str">
        <f>IF(AND('PL1(Full)'!$H437="Thôn",'PL1(Full)'!$I437&lt;75),"x",IF(AND('PL1(Full)'!$H437="Tổ",'PL1(Full)'!$I437&lt;100),"x","-"))</f>
        <v>x</v>
      </c>
      <c r="V437" s="34" t="str">
        <f>IF(AND('PL1(Full)'!$H437="Thôn",'PL1(Full)'!$I437&lt;140),"x",IF(AND('PL1(Full)'!$H437="Tổ",'PL1(Full)'!$I437&lt;210),"x","-"))</f>
        <v>x</v>
      </c>
      <c r="W437" s="40" t="str">
        <f t="shared" si="81"/>
        <v>Loại 3</v>
      </c>
      <c r="X437" s="34"/>
    </row>
    <row r="438" spans="1:24" ht="15.75" customHeight="1">
      <c r="A438" s="30">
        <f>_xlfn.AGGREGATE(4,7,A$6:A437)+1</f>
        <v>315</v>
      </c>
      <c r="B438" s="66" t="str">
        <f t="shared" si="80"/>
        <v>H. Chợ Đồn</v>
      </c>
      <c r="C438" s="31" t="str">
        <f t="shared" si="89"/>
        <v>X. Lương Bằng</v>
      </c>
      <c r="D438" s="34"/>
      <c r="E438" s="34" t="s">
        <v>36</v>
      </c>
      <c r="F438" s="31" t="s">
        <v>525</v>
      </c>
      <c r="G438" s="34"/>
      <c r="H438" s="34" t="str">
        <f>IF(LEFT('PL1(Full)'!$F438,4)="Thôn","Thôn","Tổ")</f>
        <v>Thôn</v>
      </c>
      <c r="I438" s="36">
        <v>21</v>
      </c>
      <c r="J438" s="36">
        <v>82</v>
      </c>
      <c r="K438" s="36">
        <v>18</v>
      </c>
      <c r="L438" s="37">
        <f t="shared" si="0"/>
        <v>85.714285714285708</v>
      </c>
      <c r="M438" s="36">
        <v>1</v>
      </c>
      <c r="N438" s="38">
        <f t="shared" si="1"/>
        <v>4.7619047619047619</v>
      </c>
      <c r="O438" s="36">
        <v>0</v>
      </c>
      <c r="P438" s="38">
        <f t="shared" si="2"/>
        <v>0</v>
      </c>
      <c r="Q438" s="88" t="s">
        <v>52</v>
      </c>
      <c r="R438" s="88" t="str">
        <f t="shared" si="3"/>
        <v>C</v>
      </c>
      <c r="S438" s="32"/>
      <c r="T438" s="34" t="str">
        <f>IF('PL1(Full)'!$N438&gt;=20,"x",IF(AND('PL1(Full)'!$N438&gt;=15,'PL1(Full)'!$P438&gt;60),"x",""))</f>
        <v/>
      </c>
      <c r="U438" s="34" t="str">
        <f>IF(AND('PL1(Full)'!$H438="Thôn",'PL1(Full)'!$I438&lt;75),"x",IF(AND('PL1(Full)'!$H438="Tổ",'PL1(Full)'!$I438&lt;100),"x","-"))</f>
        <v>x</v>
      </c>
      <c r="V438" s="34" t="str">
        <f>IF(AND('PL1(Full)'!$H438="Thôn",'PL1(Full)'!$I438&lt;140),"x",IF(AND('PL1(Full)'!$H438="Tổ",'PL1(Full)'!$I438&lt;210),"x","-"))</f>
        <v>x</v>
      </c>
      <c r="W438" s="40" t="str">
        <f t="shared" si="81"/>
        <v>Loại 3</v>
      </c>
      <c r="X438" s="34"/>
    </row>
    <row r="439" spans="1:24" ht="15.75" customHeight="1">
      <c r="A439" s="30">
        <f>_xlfn.AGGREGATE(4,7,A$6:A438)+1</f>
        <v>316</v>
      </c>
      <c r="B439" s="66" t="str">
        <f t="shared" si="80"/>
        <v>H. Chợ Đồn</v>
      </c>
      <c r="C439" s="31" t="str">
        <f t="shared" si="89"/>
        <v>X. Lương Bằng</v>
      </c>
      <c r="D439" s="34"/>
      <c r="E439" s="34" t="s">
        <v>36</v>
      </c>
      <c r="F439" s="31" t="s">
        <v>526</v>
      </c>
      <c r="G439" s="34"/>
      <c r="H439" s="34" t="str">
        <f>IF(LEFT('PL1(Full)'!$F439,4)="Thôn","Thôn","Tổ")</f>
        <v>Thôn</v>
      </c>
      <c r="I439" s="36">
        <v>20</v>
      </c>
      <c r="J439" s="36">
        <v>79</v>
      </c>
      <c r="K439" s="36">
        <v>18</v>
      </c>
      <c r="L439" s="37">
        <f t="shared" si="0"/>
        <v>90</v>
      </c>
      <c r="M439" s="36">
        <v>3</v>
      </c>
      <c r="N439" s="38">
        <f t="shared" si="1"/>
        <v>15</v>
      </c>
      <c r="O439" s="36">
        <v>2</v>
      </c>
      <c r="P439" s="38">
        <f t="shared" si="2"/>
        <v>66.666666666666671</v>
      </c>
      <c r="Q439" s="88" t="s">
        <v>52</v>
      </c>
      <c r="R439" s="88" t="str">
        <f t="shared" si="3"/>
        <v>C</v>
      </c>
      <c r="S439" s="32"/>
      <c r="T439" s="34" t="str">
        <f>IF('PL1(Full)'!$N439&gt;=20,"x",IF(AND('PL1(Full)'!$N439&gt;=15,'PL1(Full)'!$P439&gt;60),"x",""))</f>
        <v>x</v>
      </c>
      <c r="U439" s="34" t="str">
        <f>IF(AND('PL1(Full)'!$H439="Thôn",'PL1(Full)'!$I439&lt;75),"x",IF(AND('PL1(Full)'!$H439="Tổ",'PL1(Full)'!$I439&lt;100),"x","-"))</f>
        <v>x</v>
      </c>
      <c r="V439" s="34" t="str">
        <f>IF(AND('PL1(Full)'!$H439="Thôn",'PL1(Full)'!$I439&lt;140),"x",IF(AND('PL1(Full)'!$H439="Tổ",'PL1(Full)'!$I439&lt;210),"x","-"))</f>
        <v>x</v>
      </c>
      <c r="W439" s="40" t="str">
        <f t="shared" si="81"/>
        <v>Loại 3</v>
      </c>
      <c r="X439" s="34"/>
    </row>
    <row r="440" spans="1:24" ht="15.75" customHeight="1">
      <c r="A440" s="30">
        <f>_xlfn.AGGREGATE(4,7,A$6:A439)+1</f>
        <v>317</v>
      </c>
      <c r="B440" s="66" t="str">
        <f t="shared" si="80"/>
        <v>H. Chợ Đồn</v>
      </c>
      <c r="C440" s="31" t="str">
        <f t="shared" si="89"/>
        <v>X. Lương Bằng</v>
      </c>
      <c r="D440" s="34"/>
      <c r="E440" s="34" t="s">
        <v>36</v>
      </c>
      <c r="F440" s="31" t="s">
        <v>527</v>
      </c>
      <c r="G440" s="34"/>
      <c r="H440" s="34" t="str">
        <f>IF(LEFT('PL1(Full)'!$F440,4)="Thôn","Thôn","Tổ")</f>
        <v>Thôn</v>
      </c>
      <c r="I440" s="36">
        <v>32</v>
      </c>
      <c r="J440" s="36">
        <v>140</v>
      </c>
      <c r="K440" s="36">
        <v>30</v>
      </c>
      <c r="L440" s="37">
        <f t="shared" si="0"/>
        <v>93.75</v>
      </c>
      <c r="M440" s="36">
        <v>3</v>
      </c>
      <c r="N440" s="38">
        <f t="shared" si="1"/>
        <v>9.375</v>
      </c>
      <c r="O440" s="36">
        <v>2</v>
      </c>
      <c r="P440" s="38">
        <f t="shared" si="2"/>
        <v>66.666666666666671</v>
      </c>
      <c r="Q440" s="88" t="s">
        <v>56</v>
      </c>
      <c r="R440" s="88" t="str">
        <f t="shared" si="3"/>
        <v>X</v>
      </c>
      <c r="S440" s="32"/>
      <c r="T440" s="34" t="str">
        <f>IF('PL1(Full)'!$N440&gt;=20,"x",IF(AND('PL1(Full)'!$N440&gt;=15,'PL1(Full)'!$P440&gt;60),"x",""))</f>
        <v/>
      </c>
      <c r="U440" s="34" t="str">
        <f>IF(AND('PL1(Full)'!$H440="Thôn",'PL1(Full)'!$I440&lt;75),"x",IF(AND('PL1(Full)'!$H440="Tổ",'PL1(Full)'!$I440&lt;100),"x","-"))</f>
        <v>x</v>
      </c>
      <c r="V440" s="34" t="str">
        <f>IF(AND('PL1(Full)'!$H440="Thôn",'PL1(Full)'!$I440&lt;140),"x",IF(AND('PL1(Full)'!$H440="Tổ",'PL1(Full)'!$I440&lt;210),"x","-"))</f>
        <v>x</v>
      </c>
      <c r="W440" s="40" t="str">
        <f t="shared" si="81"/>
        <v>Loại 3</v>
      </c>
      <c r="X440" s="34"/>
    </row>
    <row r="441" spans="1:24" ht="15.75" customHeight="1">
      <c r="A441" s="41">
        <f>_xlfn.AGGREGATE(4,7,A$6:A440)+1</f>
        <v>318</v>
      </c>
      <c r="B441" s="67" t="str">
        <f t="shared" si="80"/>
        <v>H. Chợ Đồn</v>
      </c>
      <c r="C441" s="42" t="str">
        <f t="shared" si="89"/>
        <v>X. Lương Bằng</v>
      </c>
      <c r="D441" s="50"/>
      <c r="E441" s="50" t="s">
        <v>36</v>
      </c>
      <c r="F441" s="42" t="s">
        <v>528</v>
      </c>
      <c r="G441" s="50"/>
      <c r="H441" s="50" t="str">
        <f>IF(LEFT('PL1(Full)'!$F441,4)="Thôn","Thôn","Tổ")</f>
        <v>Thôn</v>
      </c>
      <c r="I441" s="46">
        <v>21</v>
      </c>
      <c r="J441" s="46">
        <v>84</v>
      </c>
      <c r="K441" s="46">
        <v>20</v>
      </c>
      <c r="L441" s="47">
        <f t="shared" si="0"/>
        <v>95.238095238095241</v>
      </c>
      <c r="M441" s="46">
        <v>0</v>
      </c>
      <c r="N441" s="48">
        <f t="shared" si="1"/>
        <v>0</v>
      </c>
      <c r="O441" s="46">
        <v>0</v>
      </c>
      <c r="P441" s="48">
        <f t="shared" si="2"/>
        <v>0</v>
      </c>
      <c r="Q441" s="89" t="s">
        <v>52</v>
      </c>
      <c r="R441" s="89" t="str">
        <f t="shared" si="3"/>
        <v>C</v>
      </c>
      <c r="S441" s="43"/>
      <c r="T441" s="50"/>
      <c r="U441" s="50" t="str">
        <f>IF(AND('PL1(Full)'!$H441="Thôn",'PL1(Full)'!$I441&lt;75),"x",IF(AND('PL1(Full)'!$H441="Tổ",'PL1(Full)'!$I441&lt;100),"x","-"))</f>
        <v>x</v>
      </c>
      <c r="V441" s="34" t="str">
        <f>IF(AND('PL1(Full)'!$H441="Thôn",'PL1(Full)'!$I441&lt;140),"x",IF(AND('PL1(Full)'!$H441="Tổ",'PL1(Full)'!$I441&lt;210),"x","-"))</f>
        <v>x</v>
      </c>
      <c r="W441" s="51" t="str">
        <f t="shared" si="81"/>
        <v>Loại 3</v>
      </c>
      <c r="X441" s="50"/>
    </row>
    <row r="442" spans="1:24" ht="15.75" hidden="1" customHeight="1">
      <c r="A442" s="52">
        <f>_xlfn.AGGREGATE(4,7,A$6:A441)+1</f>
        <v>319</v>
      </c>
      <c r="B442" s="65" t="str">
        <f t="shared" si="80"/>
        <v>H. Chợ Đồn</v>
      </c>
      <c r="C442" s="14" t="s">
        <v>529</v>
      </c>
      <c r="D442" s="15" t="s">
        <v>102</v>
      </c>
      <c r="E442" s="16" t="s">
        <v>102</v>
      </c>
      <c r="F442" s="96" t="s">
        <v>530</v>
      </c>
      <c r="G442" s="18"/>
      <c r="H442" s="18" t="str">
        <f>IF(LEFT('PL1(Full)'!$F442,4)="Thôn","Thôn","Tổ")</f>
        <v>Thôn</v>
      </c>
      <c r="I442" s="19">
        <v>79</v>
      </c>
      <c r="J442" s="20">
        <v>350</v>
      </c>
      <c r="K442" s="20">
        <v>79</v>
      </c>
      <c r="L442" s="21">
        <f t="shared" si="0"/>
        <v>100</v>
      </c>
      <c r="M442" s="20">
        <v>2</v>
      </c>
      <c r="N442" s="22">
        <f t="shared" si="1"/>
        <v>2.5316455696202533</v>
      </c>
      <c r="O442" s="20">
        <v>2</v>
      </c>
      <c r="P442" s="22">
        <f t="shared" si="2"/>
        <v>100</v>
      </c>
      <c r="Q442" s="87" t="s">
        <v>56</v>
      </c>
      <c r="R442" s="87" t="str">
        <f t="shared" si="3"/>
        <v>X</v>
      </c>
      <c r="S442" s="18"/>
      <c r="T442" s="26" t="str">
        <f>IF('PL1(Full)'!$N442&gt;=20,"x",IF(AND('PL1(Full)'!$N442&gt;=15,'PL1(Full)'!$P442&gt;60),"x",""))</f>
        <v/>
      </c>
      <c r="U442" s="27" t="str">
        <f>IF(AND('PL1(Full)'!$H442="Thôn",'PL1(Full)'!$I442&lt;75),"x",IF(AND('PL1(Full)'!$H442="Tổ",'PL1(Full)'!$I442&lt;100),"x","-"))</f>
        <v>-</v>
      </c>
      <c r="V442" s="28" t="str">
        <f>IF(AND('PL1(Full)'!$H442="Thôn",'PL1(Full)'!$I442&lt;140),"x",IF(AND('PL1(Full)'!$H442="Tổ",'PL1(Full)'!$I442&lt;210),"x","-"))</f>
        <v>x</v>
      </c>
      <c r="W442" s="29" t="str">
        <f t="shared" si="81"/>
        <v>Loại 3</v>
      </c>
      <c r="X442" s="25"/>
    </row>
    <row r="443" spans="1:24" ht="15.75" hidden="1" customHeight="1">
      <c r="A443" s="30">
        <f>_xlfn.AGGREGATE(4,7,A$6:A442)+1</f>
        <v>319</v>
      </c>
      <c r="B443" s="66" t="str">
        <f t="shared" si="80"/>
        <v>H. Chợ Đồn</v>
      </c>
      <c r="C443" s="66" t="str">
        <f t="shared" ref="C443:C451" si="90">C442</f>
        <v>X. Nam Cường</v>
      </c>
      <c r="D443" s="32"/>
      <c r="E443" s="32" t="s">
        <v>102</v>
      </c>
      <c r="F443" s="33" t="s">
        <v>531</v>
      </c>
      <c r="G443" s="32"/>
      <c r="H443" s="32" t="str">
        <f>IF(LEFT('PL1(Full)'!$F443,4)="Thôn","Thôn","Tổ")</f>
        <v>Thôn</v>
      </c>
      <c r="I443" s="35">
        <v>110</v>
      </c>
      <c r="J443" s="36">
        <v>471</v>
      </c>
      <c r="K443" s="36">
        <v>110</v>
      </c>
      <c r="L443" s="37">
        <f t="shared" si="0"/>
        <v>100</v>
      </c>
      <c r="M443" s="36">
        <v>20</v>
      </c>
      <c r="N443" s="38">
        <f t="shared" si="1"/>
        <v>18.181818181818183</v>
      </c>
      <c r="O443" s="36">
        <v>20</v>
      </c>
      <c r="P443" s="38">
        <f t="shared" si="2"/>
        <v>100</v>
      </c>
      <c r="Q443" s="88" t="s">
        <v>49</v>
      </c>
      <c r="R443" s="88" t="str">
        <f t="shared" si="3"/>
        <v>X</v>
      </c>
      <c r="S443" s="32" t="s">
        <v>60</v>
      </c>
      <c r="T443" s="34" t="str">
        <f>IF('PL1(Full)'!$N443&gt;=20,"x",IF(AND('PL1(Full)'!$N443&gt;=15,'PL1(Full)'!$P443&gt;60),"x",""))</f>
        <v>x</v>
      </c>
      <c r="U443" s="34" t="str">
        <f>IF(AND('PL1(Full)'!$H443="Thôn",'PL1(Full)'!$I443&lt;75),"x",IF(AND('PL1(Full)'!$H443="Tổ",'PL1(Full)'!$I443&lt;100),"x","-"))</f>
        <v>-</v>
      </c>
      <c r="V443" s="34" t="str">
        <f>IF(AND('PL1(Full)'!$H443="Thôn",'PL1(Full)'!$I443&lt;140),"x",IF(AND('PL1(Full)'!$H443="Tổ",'PL1(Full)'!$I443&lt;210),"x","-"))</f>
        <v>x</v>
      </c>
      <c r="W443" s="40" t="str">
        <f t="shared" si="81"/>
        <v>Loại 2</v>
      </c>
      <c r="X443" s="34"/>
    </row>
    <row r="444" spans="1:24" ht="15.75" hidden="1" customHeight="1">
      <c r="A444" s="30">
        <f>_xlfn.AGGREGATE(4,7,A$6:A443)+1</f>
        <v>319</v>
      </c>
      <c r="B444" s="66" t="str">
        <f t="shared" si="80"/>
        <v>H. Chợ Đồn</v>
      </c>
      <c r="C444" s="66" t="str">
        <f t="shared" si="90"/>
        <v>X. Nam Cường</v>
      </c>
      <c r="D444" s="32"/>
      <c r="E444" s="32" t="s">
        <v>102</v>
      </c>
      <c r="F444" s="33" t="s">
        <v>127</v>
      </c>
      <c r="G444" s="32"/>
      <c r="H444" s="32" t="str">
        <f>IF(LEFT('PL1(Full)'!$F444,4)="Thôn","Thôn","Tổ")</f>
        <v>Thôn</v>
      </c>
      <c r="I444" s="35">
        <v>75</v>
      </c>
      <c r="J444" s="36">
        <v>328</v>
      </c>
      <c r="K444" s="36">
        <v>47</v>
      </c>
      <c r="L444" s="37">
        <f t="shared" si="0"/>
        <v>62.666666666666664</v>
      </c>
      <c r="M444" s="36">
        <v>1</v>
      </c>
      <c r="N444" s="38">
        <f t="shared" si="1"/>
        <v>1.3333333333333333</v>
      </c>
      <c r="O444" s="36">
        <v>1</v>
      </c>
      <c r="P444" s="38">
        <f t="shared" si="2"/>
        <v>100</v>
      </c>
      <c r="Q444" s="88" t="s">
        <v>56</v>
      </c>
      <c r="R444" s="88" t="str">
        <f t="shared" si="3"/>
        <v>X</v>
      </c>
      <c r="S444" s="32"/>
      <c r="T444" s="34" t="str">
        <f>IF('PL1(Full)'!$N444&gt;=20,"x",IF(AND('PL1(Full)'!$N444&gt;=15,'PL1(Full)'!$P444&gt;60),"x",""))</f>
        <v/>
      </c>
      <c r="U444" s="34" t="str">
        <f>IF(AND('PL1(Full)'!$H444="Thôn",'PL1(Full)'!$I444&lt;75),"x",IF(AND('PL1(Full)'!$H444="Tổ",'PL1(Full)'!$I444&lt;100),"x","-"))</f>
        <v>-</v>
      </c>
      <c r="V444" s="34" t="str">
        <f>IF(AND('PL1(Full)'!$H444="Thôn",'PL1(Full)'!$I444&lt;140),"x",IF(AND('PL1(Full)'!$H444="Tổ",'PL1(Full)'!$I444&lt;210),"x","-"))</f>
        <v>x</v>
      </c>
      <c r="W444" s="40" t="str">
        <f t="shared" si="81"/>
        <v>Loại 3</v>
      </c>
      <c r="X444" s="34"/>
    </row>
    <row r="445" spans="1:24" ht="15.75" customHeight="1">
      <c r="A445" s="30">
        <f>_xlfn.AGGREGATE(4,7,A$6:A444)+1</f>
        <v>319</v>
      </c>
      <c r="B445" s="66" t="str">
        <f t="shared" si="80"/>
        <v>H. Chợ Đồn</v>
      </c>
      <c r="C445" s="66" t="str">
        <f t="shared" si="90"/>
        <v>X. Nam Cường</v>
      </c>
      <c r="D445" s="32"/>
      <c r="E445" s="32" t="s">
        <v>102</v>
      </c>
      <c r="F445" s="33" t="s">
        <v>532</v>
      </c>
      <c r="G445" s="32"/>
      <c r="H445" s="32" t="str">
        <f>IF(LEFT('PL1(Full)'!$F445,4)="Thôn","Thôn","Tổ")</f>
        <v>Thôn</v>
      </c>
      <c r="I445" s="35">
        <v>74</v>
      </c>
      <c r="J445" s="36">
        <v>370</v>
      </c>
      <c r="K445" s="36">
        <v>74</v>
      </c>
      <c r="L445" s="37">
        <f t="shared" si="0"/>
        <v>100</v>
      </c>
      <c r="M445" s="36">
        <v>20</v>
      </c>
      <c r="N445" s="38">
        <f t="shared" si="1"/>
        <v>27.027027027027028</v>
      </c>
      <c r="O445" s="36">
        <v>20</v>
      </c>
      <c r="P445" s="38">
        <f t="shared" si="2"/>
        <v>100</v>
      </c>
      <c r="Q445" s="88" t="s">
        <v>49</v>
      </c>
      <c r="R445" s="88" t="str">
        <f t="shared" si="3"/>
        <v>X</v>
      </c>
      <c r="S445" s="32" t="s">
        <v>60</v>
      </c>
      <c r="T445" s="34" t="str">
        <f>IF('PL1(Full)'!$N445&gt;=20,"x",IF(AND('PL1(Full)'!$N445&gt;=15,'PL1(Full)'!$P445&gt;60),"x",""))</f>
        <v>x</v>
      </c>
      <c r="U445" s="34" t="str">
        <f>IF(AND('PL1(Full)'!$H445="Thôn",'PL1(Full)'!$I445&lt;75),"x",IF(AND('PL1(Full)'!$H445="Tổ",'PL1(Full)'!$I445&lt;100),"x","-"))</f>
        <v>x</v>
      </c>
      <c r="V445" s="34" t="str">
        <f>IF(AND('PL1(Full)'!$H445="Thôn",'PL1(Full)'!$I445&lt;140),"x",IF(AND('PL1(Full)'!$H445="Tổ",'PL1(Full)'!$I445&lt;210),"x","-"))</f>
        <v>x</v>
      </c>
      <c r="W445" s="40" t="str">
        <f t="shared" si="81"/>
        <v>Loại 3</v>
      </c>
      <c r="X445" s="34"/>
    </row>
    <row r="446" spans="1:24" ht="15.75" hidden="1" customHeight="1">
      <c r="A446" s="30">
        <f>_xlfn.AGGREGATE(4,7,A$6:A445)+1</f>
        <v>320</v>
      </c>
      <c r="B446" s="66" t="str">
        <f t="shared" si="80"/>
        <v>H. Chợ Đồn</v>
      </c>
      <c r="C446" s="66" t="str">
        <f t="shared" si="90"/>
        <v>X. Nam Cường</v>
      </c>
      <c r="D446" s="32"/>
      <c r="E446" s="32" t="s">
        <v>102</v>
      </c>
      <c r="F446" s="33" t="s">
        <v>130</v>
      </c>
      <c r="G446" s="32"/>
      <c r="H446" s="32" t="str">
        <f>IF(LEFT('PL1(Full)'!$F446,4)="Thôn","Thôn","Tổ")</f>
        <v>Thôn</v>
      </c>
      <c r="I446" s="35">
        <v>76</v>
      </c>
      <c r="J446" s="36">
        <v>230</v>
      </c>
      <c r="K446" s="36">
        <v>74</v>
      </c>
      <c r="L446" s="37">
        <f t="shared" si="0"/>
        <v>97.368421052631575</v>
      </c>
      <c r="M446" s="36">
        <v>3</v>
      </c>
      <c r="N446" s="38">
        <f t="shared" si="1"/>
        <v>3.9473684210526314</v>
      </c>
      <c r="O446" s="36">
        <v>3</v>
      </c>
      <c r="P446" s="38">
        <f t="shared" si="2"/>
        <v>100</v>
      </c>
      <c r="Q446" s="88" t="s">
        <v>56</v>
      </c>
      <c r="R446" s="88" t="str">
        <f t="shared" si="3"/>
        <v>X</v>
      </c>
      <c r="S446" s="32"/>
      <c r="T446" s="34" t="str">
        <f>IF('PL1(Full)'!$N446&gt;=20,"x",IF(AND('PL1(Full)'!$N446&gt;=15,'PL1(Full)'!$P446&gt;60),"x",""))</f>
        <v/>
      </c>
      <c r="U446" s="34" t="str">
        <f>IF(AND('PL1(Full)'!$H446="Thôn",'PL1(Full)'!$I446&lt;75),"x",IF(AND('PL1(Full)'!$H446="Tổ",'PL1(Full)'!$I446&lt;100),"x","-"))</f>
        <v>-</v>
      </c>
      <c r="V446" s="34" t="str">
        <f>IF(AND('PL1(Full)'!$H446="Thôn",'PL1(Full)'!$I446&lt;140),"x",IF(AND('PL1(Full)'!$H446="Tổ",'PL1(Full)'!$I446&lt;210),"x","-"))</f>
        <v>x</v>
      </c>
      <c r="W446" s="40" t="str">
        <f t="shared" si="81"/>
        <v>Loại 3</v>
      </c>
      <c r="X446" s="34"/>
    </row>
    <row r="447" spans="1:24" ht="15.75" customHeight="1">
      <c r="A447" s="30">
        <f>_xlfn.AGGREGATE(4,7,A$6:A446)+1</f>
        <v>320</v>
      </c>
      <c r="B447" s="66" t="str">
        <f t="shared" si="80"/>
        <v>H. Chợ Đồn</v>
      </c>
      <c r="C447" s="66" t="str">
        <f t="shared" si="90"/>
        <v>X. Nam Cường</v>
      </c>
      <c r="D447" s="32"/>
      <c r="E447" s="32" t="s">
        <v>102</v>
      </c>
      <c r="F447" s="33" t="s">
        <v>533</v>
      </c>
      <c r="G447" s="32"/>
      <c r="H447" s="32" t="str">
        <f>IF(LEFT('PL1(Full)'!$F447,4)="Thôn","Thôn","Tổ")</f>
        <v>Thôn</v>
      </c>
      <c r="I447" s="35">
        <v>73</v>
      </c>
      <c r="J447" s="36">
        <v>299</v>
      </c>
      <c r="K447" s="36">
        <v>47</v>
      </c>
      <c r="L447" s="37">
        <f t="shared" si="0"/>
        <v>64.38356164383562</v>
      </c>
      <c r="M447" s="36">
        <v>1</v>
      </c>
      <c r="N447" s="38">
        <f t="shared" si="1"/>
        <v>1.3698630136986301</v>
      </c>
      <c r="O447" s="36">
        <v>0</v>
      </c>
      <c r="P447" s="38">
        <f t="shared" si="2"/>
        <v>0</v>
      </c>
      <c r="Q447" s="88" t="s">
        <v>56</v>
      </c>
      <c r="R447" s="88" t="str">
        <f t="shared" si="3"/>
        <v>X</v>
      </c>
      <c r="S447" s="32"/>
      <c r="T447" s="34" t="str">
        <f>IF('PL1(Full)'!$N447&gt;=20,"x",IF(AND('PL1(Full)'!$N447&gt;=15,'PL1(Full)'!$P447&gt;60),"x",""))</f>
        <v/>
      </c>
      <c r="U447" s="34" t="str">
        <f>IF(AND('PL1(Full)'!$H447="Thôn",'PL1(Full)'!$I447&lt;75),"x",IF(AND('PL1(Full)'!$H447="Tổ",'PL1(Full)'!$I447&lt;100),"x","-"))</f>
        <v>x</v>
      </c>
      <c r="V447" s="34" t="str">
        <f>IF(AND('PL1(Full)'!$H447="Thôn",'PL1(Full)'!$I447&lt;140),"x",IF(AND('PL1(Full)'!$H447="Tổ",'PL1(Full)'!$I447&lt;210),"x","-"))</f>
        <v>x</v>
      </c>
      <c r="W447" s="40" t="str">
        <f t="shared" si="81"/>
        <v>Loại 3</v>
      </c>
      <c r="X447" s="34"/>
    </row>
    <row r="448" spans="1:24" ht="15.75" customHeight="1">
      <c r="A448" s="30">
        <f>_xlfn.AGGREGATE(4,7,A$6:A447)+1</f>
        <v>321</v>
      </c>
      <c r="B448" s="66" t="str">
        <f t="shared" si="80"/>
        <v>H. Chợ Đồn</v>
      </c>
      <c r="C448" s="66" t="str">
        <f t="shared" si="90"/>
        <v>X. Nam Cường</v>
      </c>
      <c r="D448" s="32"/>
      <c r="E448" s="32" t="s">
        <v>102</v>
      </c>
      <c r="F448" s="33" t="s">
        <v>534</v>
      </c>
      <c r="G448" s="32"/>
      <c r="H448" s="32" t="str">
        <f>IF(LEFT('PL1(Full)'!$F448,4)="Thôn","Thôn","Tổ")</f>
        <v>Thôn</v>
      </c>
      <c r="I448" s="36">
        <v>52</v>
      </c>
      <c r="J448" s="36">
        <v>251</v>
      </c>
      <c r="K448" s="36">
        <v>52</v>
      </c>
      <c r="L448" s="37">
        <f t="shared" si="0"/>
        <v>100</v>
      </c>
      <c r="M448" s="36">
        <v>45</v>
      </c>
      <c r="N448" s="38">
        <f t="shared" si="1"/>
        <v>86.538461538461533</v>
      </c>
      <c r="O448" s="36">
        <v>45</v>
      </c>
      <c r="P448" s="38">
        <f t="shared" si="2"/>
        <v>100</v>
      </c>
      <c r="Q448" s="88" t="s">
        <v>56</v>
      </c>
      <c r="R448" s="88" t="str">
        <f t="shared" si="3"/>
        <v>X</v>
      </c>
      <c r="S448" s="32" t="s">
        <v>60</v>
      </c>
      <c r="T448" s="34" t="str">
        <f>IF('PL1(Full)'!$N448&gt;=20,"x",IF(AND('PL1(Full)'!$N448&gt;=15,'PL1(Full)'!$P448&gt;60),"x",""))</f>
        <v>x</v>
      </c>
      <c r="U448" s="34" t="str">
        <f>IF(AND('PL1(Full)'!$H448="Thôn",'PL1(Full)'!$I448&lt;75),"x",IF(AND('PL1(Full)'!$H448="Tổ",'PL1(Full)'!$I448&lt;100),"x","-"))</f>
        <v>x</v>
      </c>
      <c r="V448" s="34" t="str">
        <f>IF(AND('PL1(Full)'!$H448="Thôn",'PL1(Full)'!$I448&lt;140),"x",IF(AND('PL1(Full)'!$H448="Tổ",'PL1(Full)'!$I448&lt;210),"x","-"))</f>
        <v>x</v>
      </c>
      <c r="W448" s="40" t="str">
        <f t="shared" si="81"/>
        <v>Loại 3</v>
      </c>
      <c r="X448" s="34"/>
    </row>
    <row r="449" spans="1:24" ht="15.75" hidden="1" customHeight="1">
      <c r="A449" s="30">
        <f>_xlfn.AGGREGATE(4,7,A$6:A448)+1</f>
        <v>322</v>
      </c>
      <c r="B449" s="66" t="str">
        <f t="shared" si="80"/>
        <v>H. Chợ Đồn</v>
      </c>
      <c r="C449" s="66" t="str">
        <f t="shared" si="90"/>
        <v>X. Nam Cường</v>
      </c>
      <c r="D449" s="32"/>
      <c r="E449" s="32" t="s">
        <v>102</v>
      </c>
      <c r="F449" s="33" t="s">
        <v>535</v>
      </c>
      <c r="G449" s="34" t="s">
        <v>40</v>
      </c>
      <c r="H449" s="32" t="str">
        <f>IF(LEFT('PL1(Full)'!$F449,4)="Thôn","Thôn","Tổ")</f>
        <v>Thôn</v>
      </c>
      <c r="I449" s="35">
        <v>108</v>
      </c>
      <c r="J449" s="36">
        <v>479</v>
      </c>
      <c r="K449" s="36">
        <v>93</v>
      </c>
      <c r="L449" s="37">
        <f t="shared" si="0"/>
        <v>86.111111111111114</v>
      </c>
      <c r="M449" s="36">
        <v>2</v>
      </c>
      <c r="N449" s="38">
        <f t="shared" si="1"/>
        <v>1.8518518518518519</v>
      </c>
      <c r="O449" s="36">
        <v>2</v>
      </c>
      <c r="P449" s="38">
        <f t="shared" si="2"/>
        <v>100</v>
      </c>
      <c r="Q449" s="88" t="s">
        <v>56</v>
      </c>
      <c r="R449" s="88" t="str">
        <f t="shared" si="3"/>
        <v>X</v>
      </c>
      <c r="S449" s="32"/>
      <c r="T449" s="34" t="str">
        <f>IF('PL1(Full)'!$N449&gt;=20,"x",IF(AND('PL1(Full)'!$N449&gt;=15,'PL1(Full)'!$P449&gt;60),"x",""))</f>
        <v/>
      </c>
      <c r="U449" s="34" t="str">
        <f>IF(AND('PL1(Full)'!$H449="Thôn",'PL1(Full)'!$I449&lt;75),"x",IF(AND('PL1(Full)'!$H449="Tổ",'PL1(Full)'!$I449&lt;100),"x","-"))</f>
        <v>-</v>
      </c>
      <c r="V449" s="34" t="str">
        <f>IF(AND('PL1(Full)'!$H449="Thôn",'PL1(Full)'!$I449&lt;140),"x",IF(AND('PL1(Full)'!$H449="Tổ",'PL1(Full)'!$I449&lt;210),"x","-"))</f>
        <v>x</v>
      </c>
      <c r="W449" s="40" t="str">
        <f t="shared" si="81"/>
        <v>Loại 2</v>
      </c>
      <c r="X449" s="34"/>
    </row>
    <row r="450" spans="1:24" ht="15.75" hidden="1" customHeight="1">
      <c r="A450" s="30">
        <f>_xlfn.AGGREGATE(4,7,A$6:A449)+1</f>
        <v>322</v>
      </c>
      <c r="B450" s="66" t="str">
        <f t="shared" si="80"/>
        <v>H. Chợ Đồn</v>
      </c>
      <c r="C450" s="66" t="str">
        <f t="shared" si="90"/>
        <v>X. Nam Cường</v>
      </c>
      <c r="D450" s="32"/>
      <c r="E450" s="32" t="s">
        <v>102</v>
      </c>
      <c r="F450" s="33" t="s">
        <v>136</v>
      </c>
      <c r="G450" s="32"/>
      <c r="H450" s="32" t="str">
        <f>IF(LEFT('PL1(Full)'!$F450,4)="Thôn","Thôn","Tổ")</f>
        <v>Thôn</v>
      </c>
      <c r="I450" s="35">
        <v>85</v>
      </c>
      <c r="J450" s="36">
        <v>341</v>
      </c>
      <c r="K450" s="36">
        <v>84</v>
      </c>
      <c r="L450" s="37">
        <f t="shared" si="0"/>
        <v>98.82352941176471</v>
      </c>
      <c r="M450" s="36">
        <v>7</v>
      </c>
      <c r="N450" s="38">
        <f t="shared" si="1"/>
        <v>8.235294117647058</v>
      </c>
      <c r="O450" s="36">
        <v>7</v>
      </c>
      <c r="P450" s="38">
        <f t="shared" si="2"/>
        <v>100</v>
      </c>
      <c r="Q450" s="88" t="s">
        <v>56</v>
      </c>
      <c r="R450" s="88" t="str">
        <f t="shared" si="3"/>
        <v>X</v>
      </c>
      <c r="S450" s="32"/>
      <c r="T450" s="34" t="str">
        <f>IF('PL1(Full)'!$N450&gt;=20,"x",IF(AND('PL1(Full)'!$N450&gt;=15,'PL1(Full)'!$P450&gt;60),"x",""))</f>
        <v/>
      </c>
      <c r="U450" s="34" t="str">
        <f>IF(AND('PL1(Full)'!$H450="Thôn",'PL1(Full)'!$I450&lt;75),"x",IF(AND('PL1(Full)'!$H450="Tổ",'PL1(Full)'!$I450&lt;100),"x","-"))</f>
        <v>-</v>
      </c>
      <c r="V450" s="34" t="str">
        <f>IF(AND('PL1(Full)'!$H450="Thôn",'PL1(Full)'!$I450&lt;140),"x",IF(AND('PL1(Full)'!$H450="Tổ",'PL1(Full)'!$I450&lt;210),"x","-"))</f>
        <v>x</v>
      </c>
      <c r="W450" s="40" t="str">
        <f t="shared" si="81"/>
        <v>Loại 3</v>
      </c>
      <c r="X450" s="34"/>
    </row>
    <row r="451" spans="1:24" ht="15.75" hidden="1" customHeight="1">
      <c r="A451" s="41">
        <f>_xlfn.AGGREGATE(4,7,A$6:A450)+1</f>
        <v>322</v>
      </c>
      <c r="B451" s="67" t="str">
        <f t="shared" si="80"/>
        <v>H. Chợ Đồn</v>
      </c>
      <c r="C451" s="67" t="str">
        <f t="shared" si="90"/>
        <v>X. Nam Cường</v>
      </c>
      <c r="D451" s="43"/>
      <c r="E451" s="43" t="s">
        <v>102</v>
      </c>
      <c r="F451" s="44" t="s">
        <v>536</v>
      </c>
      <c r="G451" s="43"/>
      <c r="H451" s="43" t="str">
        <f>IF(LEFT('PL1(Full)'!$F451,4)="Thôn","Thôn","Tổ")</f>
        <v>Thôn</v>
      </c>
      <c r="I451" s="45">
        <v>81</v>
      </c>
      <c r="J451" s="46">
        <v>340</v>
      </c>
      <c r="K451" s="46">
        <v>81</v>
      </c>
      <c r="L451" s="47">
        <f t="shared" si="0"/>
        <v>100</v>
      </c>
      <c r="M451" s="46">
        <v>1</v>
      </c>
      <c r="N451" s="48">
        <f t="shared" si="1"/>
        <v>1.2345679012345678</v>
      </c>
      <c r="O451" s="46">
        <v>1</v>
      </c>
      <c r="P451" s="48">
        <f t="shared" si="2"/>
        <v>100</v>
      </c>
      <c r="Q451" s="89" t="s">
        <v>56</v>
      </c>
      <c r="R451" s="89" t="str">
        <f t="shared" si="3"/>
        <v>X</v>
      </c>
      <c r="S451" s="43"/>
      <c r="T451" s="50" t="str">
        <f>IF('PL1(Full)'!$N451&gt;=20,"x",IF(AND('PL1(Full)'!$N451&gt;=15,'PL1(Full)'!$P451&gt;60),"x",""))</f>
        <v/>
      </c>
      <c r="U451" s="50" t="str">
        <f>IF(AND('PL1(Full)'!$H451="Thôn",'PL1(Full)'!$I451&lt;75),"x",IF(AND('PL1(Full)'!$H451="Tổ",'PL1(Full)'!$I451&lt;100),"x","-"))</f>
        <v>-</v>
      </c>
      <c r="V451" s="34" t="str">
        <f>IF(AND('PL1(Full)'!$H451="Thôn",'PL1(Full)'!$I451&lt;140),"x",IF(AND('PL1(Full)'!$H451="Tổ",'PL1(Full)'!$I451&lt;210),"x","-"))</f>
        <v>x</v>
      </c>
      <c r="W451" s="51" t="str">
        <f t="shared" si="81"/>
        <v>Loại 3</v>
      </c>
      <c r="X451" s="50"/>
    </row>
    <row r="452" spans="1:24" ht="15.75" customHeight="1">
      <c r="A452" s="52">
        <f>_xlfn.AGGREGATE(4,7,A$6:A451)+1</f>
        <v>322</v>
      </c>
      <c r="B452" s="65" t="str">
        <f t="shared" si="80"/>
        <v>H. Chợ Đồn</v>
      </c>
      <c r="C452" s="14" t="s">
        <v>537</v>
      </c>
      <c r="D452" s="15" t="s">
        <v>36</v>
      </c>
      <c r="E452" s="16" t="s">
        <v>36</v>
      </c>
      <c r="F452" s="96" t="s">
        <v>538</v>
      </c>
      <c r="G452" s="18"/>
      <c r="H452" s="18" t="str">
        <f>IF(LEFT('PL1(Full)'!$F452,4)="Thôn","Thôn","Tổ")</f>
        <v>Thôn</v>
      </c>
      <c r="I452" s="19">
        <v>53</v>
      </c>
      <c r="J452" s="19">
        <v>219</v>
      </c>
      <c r="K452" s="19">
        <v>53</v>
      </c>
      <c r="L452" s="21">
        <f t="shared" si="0"/>
        <v>100</v>
      </c>
      <c r="M452" s="19">
        <v>13</v>
      </c>
      <c r="N452" s="22">
        <f t="shared" si="1"/>
        <v>24.528301886792452</v>
      </c>
      <c r="O452" s="97">
        <v>13</v>
      </c>
      <c r="P452" s="22">
        <f t="shared" si="2"/>
        <v>100</v>
      </c>
      <c r="Q452" s="87" t="s">
        <v>158</v>
      </c>
      <c r="R452" s="87" t="str">
        <f t="shared" si="3"/>
        <v>X</v>
      </c>
      <c r="S452" s="18" t="s">
        <v>60</v>
      </c>
      <c r="T452" s="26" t="str">
        <f>IF('PL1(Full)'!$N452&gt;=20,"x",IF(AND('PL1(Full)'!$N452&gt;=15,'PL1(Full)'!$P452&gt;60),"x",""))</f>
        <v>x</v>
      </c>
      <c r="U452" s="27" t="str">
        <f>IF(AND('PL1(Full)'!$H452="Thôn",'PL1(Full)'!$I452&lt;75),"x",IF(AND('PL1(Full)'!$H452="Tổ",'PL1(Full)'!$I452&lt;100),"x","-"))</f>
        <v>x</v>
      </c>
      <c r="V452" s="28" t="str">
        <f>IF(AND('PL1(Full)'!$H452="Thôn",'PL1(Full)'!$I452&lt;140),"x",IF(AND('PL1(Full)'!$H452="Tổ",'PL1(Full)'!$I452&lt;210),"x","-"))</f>
        <v>x</v>
      </c>
      <c r="W452" s="29" t="str">
        <f t="shared" si="81"/>
        <v>Loại 3</v>
      </c>
      <c r="X452" s="25"/>
    </row>
    <row r="453" spans="1:24" ht="15.75" customHeight="1">
      <c r="A453" s="30">
        <f>_xlfn.AGGREGATE(4,7,A$6:A452)+1</f>
        <v>323</v>
      </c>
      <c r="B453" s="66" t="str">
        <f t="shared" si="80"/>
        <v>H. Chợ Đồn</v>
      </c>
      <c r="C453" s="31" t="str">
        <f t="shared" ref="C453:C460" si="91">C452</f>
        <v>X. Nghĩa Tá</v>
      </c>
      <c r="D453" s="32"/>
      <c r="E453" s="32" t="s">
        <v>36</v>
      </c>
      <c r="F453" s="33" t="s">
        <v>539</v>
      </c>
      <c r="G453" s="32"/>
      <c r="H453" s="32" t="str">
        <f>IF(LEFT('PL1(Full)'!$F453,4)="Thôn","Thôn","Tổ")</f>
        <v>Thôn</v>
      </c>
      <c r="I453" s="35">
        <v>54</v>
      </c>
      <c r="J453" s="35">
        <v>225</v>
      </c>
      <c r="K453" s="35">
        <v>51</v>
      </c>
      <c r="L453" s="37">
        <f t="shared" si="0"/>
        <v>94.444444444444443</v>
      </c>
      <c r="M453" s="35">
        <v>6</v>
      </c>
      <c r="N453" s="38">
        <f t="shared" si="1"/>
        <v>11.111111111111111</v>
      </c>
      <c r="O453" s="98">
        <v>6</v>
      </c>
      <c r="P453" s="38">
        <f t="shared" si="2"/>
        <v>100</v>
      </c>
      <c r="Q453" s="88" t="s">
        <v>82</v>
      </c>
      <c r="R453" s="88" t="str">
        <f t="shared" si="3"/>
        <v>X</v>
      </c>
      <c r="S453" s="32"/>
      <c r="T453" s="34" t="str">
        <f>IF('PL1(Full)'!$N453&gt;=20,"x",IF(AND('PL1(Full)'!$N453&gt;=15,'PL1(Full)'!$P453&gt;60),"x",""))</f>
        <v/>
      </c>
      <c r="U453" s="34" t="str">
        <f>IF(AND('PL1(Full)'!$H453="Thôn",'PL1(Full)'!$I453&lt;75),"x",IF(AND('PL1(Full)'!$H453="Tổ",'PL1(Full)'!$I453&lt;100),"x","-"))</f>
        <v>x</v>
      </c>
      <c r="V453" s="34" t="str">
        <f>IF(AND('PL1(Full)'!$H453="Thôn",'PL1(Full)'!$I453&lt;140),"x",IF(AND('PL1(Full)'!$H453="Tổ",'PL1(Full)'!$I453&lt;210),"x","-"))</f>
        <v>x</v>
      </c>
      <c r="W453" s="40" t="str">
        <f t="shared" si="81"/>
        <v>Loại 3</v>
      </c>
      <c r="X453" s="34"/>
    </row>
    <row r="454" spans="1:24" ht="15.75" customHeight="1">
      <c r="A454" s="30">
        <f>_xlfn.AGGREGATE(4,7,A$6:A453)+1</f>
        <v>324</v>
      </c>
      <c r="B454" s="66" t="str">
        <f t="shared" si="80"/>
        <v>H. Chợ Đồn</v>
      </c>
      <c r="C454" s="31" t="str">
        <f t="shared" si="91"/>
        <v>X. Nghĩa Tá</v>
      </c>
      <c r="D454" s="32"/>
      <c r="E454" s="32" t="s">
        <v>36</v>
      </c>
      <c r="F454" s="33" t="s">
        <v>540</v>
      </c>
      <c r="G454" s="32"/>
      <c r="H454" s="32" t="str">
        <f>IF(LEFT('PL1(Full)'!$F454,4)="Thôn","Thôn","Tổ")</f>
        <v>Thôn</v>
      </c>
      <c r="I454" s="35">
        <v>41</v>
      </c>
      <c r="J454" s="35">
        <v>125</v>
      </c>
      <c r="K454" s="35">
        <v>37</v>
      </c>
      <c r="L454" s="37">
        <f t="shared" si="0"/>
        <v>90.243902439024396</v>
      </c>
      <c r="M454" s="35">
        <v>7</v>
      </c>
      <c r="N454" s="38">
        <f t="shared" si="1"/>
        <v>17.073170731707318</v>
      </c>
      <c r="O454" s="98">
        <v>7</v>
      </c>
      <c r="P454" s="38">
        <f t="shared" si="2"/>
        <v>100</v>
      </c>
      <c r="Q454" s="88" t="s">
        <v>82</v>
      </c>
      <c r="R454" s="88" t="str">
        <f t="shared" si="3"/>
        <v>X</v>
      </c>
      <c r="S454" s="32"/>
      <c r="T454" s="34" t="str">
        <f>IF('PL1(Full)'!$N454&gt;=20,"x",IF(AND('PL1(Full)'!$N454&gt;=15,'PL1(Full)'!$P454&gt;60),"x",""))</f>
        <v>x</v>
      </c>
      <c r="U454" s="34" t="str">
        <f>IF(AND('PL1(Full)'!$H454="Thôn",'PL1(Full)'!$I454&lt;75),"x",IF(AND('PL1(Full)'!$H454="Tổ",'PL1(Full)'!$I454&lt;100),"x","-"))</f>
        <v>x</v>
      </c>
      <c r="V454" s="34" t="str">
        <f>IF(AND('PL1(Full)'!$H454="Thôn",'PL1(Full)'!$I454&lt;140),"x",IF(AND('PL1(Full)'!$H454="Tổ",'PL1(Full)'!$I454&lt;210),"x","-"))</f>
        <v>x</v>
      </c>
      <c r="W454" s="40" t="str">
        <f t="shared" si="81"/>
        <v>Loại 3</v>
      </c>
      <c r="X454" s="34"/>
    </row>
    <row r="455" spans="1:24" ht="15.75" customHeight="1">
      <c r="A455" s="30">
        <f>_xlfn.AGGREGATE(4,7,A$6:A454)+1</f>
        <v>325</v>
      </c>
      <c r="B455" s="66" t="str">
        <f t="shared" si="80"/>
        <v>H. Chợ Đồn</v>
      </c>
      <c r="C455" s="31" t="str">
        <f t="shared" si="91"/>
        <v>X. Nghĩa Tá</v>
      </c>
      <c r="D455" s="32"/>
      <c r="E455" s="32" t="s">
        <v>36</v>
      </c>
      <c r="F455" s="33" t="s">
        <v>119</v>
      </c>
      <c r="G455" s="32"/>
      <c r="H455" s="32" t="str">
        <f>IF(LEFT('PL1(Full)'!$F455,4)="Thôn","Thôn","Tổ")</f>
        <v>Thôn</v>
      </c>
      <c r="I455" s="35">
        <v>41</v>
      </c>
      <c r="J455" s="35">
        <v>140</v>
      </c>
      <c r="K455" s="35">
        <v>39</v>
      </c>
      <c r="L455" s="37">
        <f t="shared" si="0"/>
        <v>95.121951219512198</v>
      </c>
      <c r="M455" s="35">
        <v>6</v>
      </c>
      <c r="N455" s="38">
        <f t="shared" si="1"/>
        <v>14.634146341463415</v>
      </c>
      <c r="O455" s="98">
        <v>5</v>
      </c>
      <c r="P455" s="38">
        <f t="shared" si="2"/>
        <v>83.333333333333329</v>
      </c>
      <c r="Q455" s="88" t="s">
        <v>82</v>
      </c>
      <c r="R455" s="88" t="str">
        <f t="shared" si="3"/>
        <v>X</v>
      </c>
      <c r="S455" s="32"/>
      <c r="T455" s="34" t="str">
        <f>IF('PL1(Full)'!$N455&gt;=20,"x",IF(AND('PL1(Full)'!$N455&gt;=15,'PL1(Full)'!$P455&gt;60),"x",""))</f>
        <v/>
      </c>
      <c r="U455" s="34" t="str">
        <f>IF(AND('PL1(Full)'!$H455="Thôn",'PL1(Full)'!$I455&lt;75),"x",IF(AND('PL1(Full)'!$H455="Tổ",'PL1(Full)'!$I455&lt;100),"x","-"))</f>
        <v>x</v>
      </c>
      <c r="V455" s="34" t="str">
        <f>IF(AND('PL1(Full)'!$H455="Thôn",'PL1(Full)'!$I455&lt;140),"x",IF(AND('PL1(Full)'!$H455="Tổ",'PL1(Full)'!$I455&lt;210),"x","-"))</f>
        <v>x</v>
      </c>
      <c r="W455" s="40" t="str">
        <f t="shared" si="81"/>
        <v>Loại 3</v>
      </c>
      <c r="X455" s="34"/>
    </row>
    <row r="456" spans="1:24" ht="15.75" customHeight="1">
      <c r="A456" s="30">
        <f>_xlfn.AGGREGATE(4,7,A$6:A455)+1</f>
        <v>326</v>
      </c>
      <c r="B456" s="66" t="str">
        <f t="shared" si="80"/>
        <v>H. Chợ Đồn</v>
      </c>
      <c r="C456" s="31" t="str">
        <f t="shared" si="91"/>
        <v>X. Nghĩa Tá</v>
      </c>
      <c r="D456" s="32"/>
      <c r="E456" s="32" t="s">
        <v>36</v>
      </c>
      <c r="F456" s="33" t="s">
        <v>541</v>
      </c>
      <c r="G456" s="32"/>
      <c r="H456" s="32" t="str">
        <f>IF(LEFT('PL1(Full)'!$F456,4)="Thôn","Thôn","Tổ")</f>
        <v>Thôn</v>
      </c>
      <c r="I456" s="35">
        <v>29</v>
      </c>
      <c r="J456" s="35">
        <v>126</v>
      </c>
      <c r="K456" s="35">
        <v>27</v>
      </c>
      <c r="L456" s="37">
        <f t="shared" si="0"/>
        <v>93.103448275862064</v>
      </c>
      <c r="M456" s="35">
        <v>2</v>
      </c>
      <c r="N456" s="38">
        <f t="shared" si="1"/>
        <v>6.8965517241379306</v>
      </c>
      <c r="O456" s="98">
        <v>2</v>
      </c>
      <c r="P456" s="38">
        <f t="shared" si="2"/>
        <v>100</v>
      </c>
      <c r="Q456" s="88" t="s">
        <v>82</v>
      </c>
      <c r="R456" s="88" t="str">
        <f t="shared" si="3"/>
        <v>X</v>
      </c>
      <c r="S456" s="32"/>
      <c r="T456" s="34" t="str">
        <f>IF('PL1(Full)'!$N456&gt;=20,"x",IF(AND('PL1(Full)'!$N456&gt;=15,'PL1(Full)'!$P456&gt;60),"x",""))</f>
        <v/>
      </c>
      <c r="U456" s="34" t="str">
        <f>IF(AND('PL1(Full)'!$H456="Thôn",'PL1(Full)'!$I456&lt;75),"x",IF(AND('PL1(Full)'!$H456="Tổ",'PL1(Full)'!$I456&lt;100),"x","-"))</f>
        <v>x</v>
      </c>
      <c r="V456" s="34" t="str">
        <f>IF(AND('PL1(Full)'!$H456="Thôn",'PL1(Full)'!$I456&lt;140),"x",IF(AND('PL1(Full)'!$H456="Tổ",'PL1(Full)'!$I456&lt;210),"x","-"))</f>
        <v>x</v>
      </c>
      <c r="W456" s="40" t="str">
        <f t="shared" si="81"/>
        <v>Loại 3</v>
      </c>
      <c r="X456" s="34"/>
    </row>
    <row r="457" spans="1:24" ht="15.75" customHeight="1">
      <c r="A457" s="30">
        <f>_xlfn.AGGREGATE(4,7,A$6:A456)+1</f>
        <v>327</v>
      </c>
      <c r="B457" s="66" t="str">
        <f t="shared" si="80"/>
        <v>H. Chợ Đồn</v>
      </c>
      <c r="C457" s="31" t="str">
        <f t="shared" si="91"/>
        <v>X. Nghĩa Tá</v>
      </c>
      <c r="D457" s="32"/>
      <c r="E457" s="32" t="s">
        <v>36</v>
      </c>
      <c r="F457" s="33" t="s">
        <v>542</v>
      </c>
      <c r="G457" s="32"/>
      <c r="H457" s="32" t="str">
        <f>IF(LEFT('PL1(Full)'!$F457,4)="Thôn","Thôn","Tổ")</f>
        <v>Thôn</v>
      </c>
      <c r="I457" s="35">
        <v>60</v>
      </c>
      <c r="J457" s="35">
        <v>203</v>
      </c>
      <c r="K457" s="35">
        <v>58</v>
      </c>
      <c r="L457" s="37">
        <f t="shared" si="0"/>
        <v>96.666666666666671</v>
      </c>
      <c r="M457" s="35">
        <v>7</v>
      </c>
      <c r="N457" s="38">
        <f t="shared" si="1"/>
        <v>11.666666666666666</v>
      </c>
      <c r="O457" s="98">
        <v>7</v>
      </c>
      <c r="P457" s="38">
        <f t="shared" si="2"/>
        <v>100</v>
      </c>
      <c r="Q457" s="88" t="s">
        <v>82</v>
      </c>
      <c r="R457" s="88" t="str">
        <f t="shared" si="3"/>
        <v>X</v>
      </c>
      <c r="S457" s="32"/>
      <c r="T457" s="34" t="str">
        <f>IF('PL1(Full)'!$N457&gt;=20,"x",IF(AND('PL1(Full)'!$N457&gt;=15,'PL1(Full)'!$P457&gt;60),"x",""))</f>
        <v/>
      </c>
      <c r="U457" s="34" t="str">
        <f>IF(AND('PL1(Full)'!$H457="Thôn",'PL1(Full)'!$I457&lt;75),"x",IF(AND('PL1(Full)'!$H457="Tổ",'PL1(Full)'!$I457&lt;100),"x","-"))</f>
        <v>x</v>
      </c>
      <c r="V457" s="34" t="str">
        <f>IF(AND('PL1(Full)'!$H457="Thôn",'PL1(Full)'!$I457&lt;140),"x",IF(AND('PL1(Full)'!$H457="Tổ",'PL1(Full)'!$I457&lt;210),"x","-"))</f>
        <v>x</v>
      </c>
      <c r="W457" s="40" t="str">
        <f t="shared" si="81"/>
        <v>Loại 3</v>
      </c>
      <c r="X457" s="34"/>
    </row>
    <row r="458" spans="1:24" ht="15.75" customHeight="1">
      <c r="A458" s="30">
        <f>_xlfn.AGGREGATE(4,7,A$6:A457)+1</f>
        <v>328</v>
      </c>
      <c r="B458" s="66" t="str">
        <f t="shared" si="80"/>
        <v>H. Chợ Đồn</v>
      </c>
      <c r="C458" s="31" t="str">
        <f t="shared" si="91"/>
        <v>X. Nghĩa Tá</v>
      </c>
      <c r="D458" s="32"/>
      <c r="E458" s="32" t="s">
        <v>36</v>
      </c>
      <c r="F458" s="33" t="s">
        <v>543</v>
      </c>
      <c r="G458" s="32"/>
      <c r="H458" s="32" t="str">
        <f>IF(LEFT('PL1(Full)'!$F458,4)="Thôn","Thôn","Tổ")</f>
        <v>Thôn</v>
      </c>
      <c r="I458" s="35">
        <v>56</v>
      </c>
      <c r="J458" s="35">
        <v>227</v>
      </c>
      <c r="K458" s="35">
        <v>54</v>
      </c>
      <c r="L458" s="37">
        <f t="shared" si="0"/>
        <v>96.428571428571431</v>
      </c>
      <c r="M458" s="35">
        <v>2</v>
      </c>
      <c r="N458" s="38">
        <f t="shared" si="1"/>
        <v>3.5714285714285716</v>
      </c>
      <c r="O458" s="98">
        <v>2</v>
      </c>
      <c r="P458" s="38">
        <f t="shared" si="2"/>
        <v>100</v>
      </c>
      <c r="Q458" s="88" t="s">
        <v>82</v>
      </c>
      <c r="R458" s="88" t="str">
        <f t="shared" si="3"/>
        <v>X</v>
      </c>
      <c r="S458" s="32"/>
      <c r="T458" s="34" t="str">
        <f>IF('PL1(Full)'!$N458&gt;=20,"x",IF(AND('PL1(Full)'!$N458&gt;=15,'PL1(Full)'!$P458&gt;60),"x",""))</f>
        <v/>
      </c>
      <c r="U458" s="34" t="str">
        <f>IF(AND('PL1(Full)'!$H458="Thôn",'PL1(Full)'!$I458&lt;75),"x",IF(AND('PL1(Full)'!$H458="Tổ",'PL1(Full)'!$I458&lt;100),"x","-"))</f>
        <v>x</v>
      </c>
      <c r="V458" s="34" t="str">
        <f>IF(AND('PL1(Full)'!$H458="Thôn",'PL1(Full)'!$I458&lt;140),"x",IF(AND('PL1(Full)'!$H458="Tổ",'PL1(Full)'!$I458&lt;210),"x","-"))</f>
        <v>x</v>
      </c>
      <c r="W458" s="40" t="str">
        <f t="shared" si="81"/>
        <v>Loại 3</v>
      </c>
      <c r="X458" s="34"/>
    </row>
    <row r="459" spans="1:24" ht="15.75" customHeight="1">
      <c r="A459" s="30">
        <f>_xlfn.AGGREGATE(4,7,A$6:A458)+1</f>
        <v>329</v>
      </c>
      <c r="B459" s="66" t="str">
        <f t="shared" si="80"/>
        <v>H. Chợ Đồn</v>
      </c>
      <c r="C459" s="31" t="str">
        <f t="shared" si="91"/>
        <v>X. Nghĩa Tá</v>
      </c>
      <c r="D459" s="32"/>
      <c r="E459" s="32" t="s">
        <v>36</v>
      </c>
      <c r="F459" s="33" t="s">
        <v>544</v>
      </c>
      <c r="G459" s="32"/>
      <c r="H459" s="32" t="str">
        <f>IF(LEFT('PL1(Full)'!$F459,4)="Thôn","Thôn","Tổ")</f>
        <v>Thôn</v>
      </c>
      <c r="I459" s="35">
        <v>45</v>
      </c>
      <c r="J459" s="35">
        <v>177</v>
      </c>
      <c r="K459" s="35">
        <v>43</v>
      </c>
      <c r="L459" s="37">
        <f t="shared" si="0"/>
        <v>95.555555555555557</v>
      </c>
      <c r="M459" s="35">
        <v>6</v>
      </c>
      <c r="N459" s="38">
        <f t="shared" si="1"/>
        <v>13.333333333333334</v>
      </c>
      <c r="O459" s="98">
        <v>6</v>
      </c>
      <c r="P459" s="38">
        <f t="shared" si="2"/>
        <v>100</v>
      </c>
      <c r="Q459" s="88" t="s">
        <v>82</v>
      </c>
      <c r="R459" s="88" t="str">
        <f t="shared" si="3"/>
        <v>X</v>
      </c>
      <c r="S459" s="32"/>
      <c r="T459" s="34" t="str">
        <f>IF('PL1(Full)'!$N459&gt;=20,"x",IF(AND('PL1(Full)'!$N459&gt;=15,'PL1(Full)'!$P459&gt;60),"x",""))</f>
        <v/>
      </c>
      <c r="U459" s="34" t="str">
        <f>IF(AND('PL1(Full)'!$H459="Thôn",'PL1(Full)'!$I459&lt;75),"x",IF(AND('PL1(Full)'!$H459="Tổ",'PL1(Full)'!$I459&lt;100),"x","-"))</f>
        <v>x</v>
      </c>
      <c r="V459" s="34" t="str">
        <f>IF(AND('PL1(Full)'!$H459="Thôn",'PL1(Full)'!$I459&lt;140),"x",IF(AND('PL1(Full)'!$H459="Tổ",'PL1(Full)'!$I459&lt;210),"x","-"))</f>
        <v>x</v>
      </c>
      <c r="W459" s="40" t="str">
        <f t="shared" si="81"/>
        <v>Loại 3</v>
      </c>
      <c r="X459" s="34"/>
    </row>
    <row r="460" spans="1:24" ht="15.75" customHeight="1">
      <c r="A460" s="41">
        <f>_xlfn.AGGREGATE(4,7,A$6:A459)+1</f>
        <v>330</v>
      </c>
      <c r="B460" s="67" t="str">
        <f t="shared" si="80"/>
        <v>H. Chợ Đồn</v>
      </c>
      <c r="C460" s="42" t="str">
        <f t="shared" si="91"/>
        <v>X. Nghĩa Tá</v>
      </c>
      <c r="D460" s="43"/>
      <c r="E460" s="43" t="s">
        <v>36</v>
      </c>
      <c r="F460" s="44" t="s">
        <v>545</v>
      </c>
      <c r="G460" s="43"/>
      <c r="H460" s="43" t="str">
        <f>IF(LEFT('PL1(Full)'!$F460,4)="Thôn","Thôn","Tổ")</f>
        <v>Thôn</v>
      </c>
      <c r="I460" s="45">
        <v>50</v>
      </c>
      <c r="J460" s="45">
        <v>176</v>
      </c>
      <c r="K460" s="45">
        <v>48</v>
      </c>
      <c r="L460" s="47">
        <f t="shared" si="0"/>
        <v>96</v>
      </c>
      <c r="M460" s="45">
        <v>7</v>
      </c>
      <c r="N460" s="48">
        <f t="shared" si="1"/>
        <v>14</v>
      </c>
      <c r="O460" s="99">
        <v>7</v>
      </c>
      <c r="P460" s="48">
        <f t="shared" si="2"/>
        <v>100</v>
      </c>
      <c r="Q460" s="88" t="s">
        <v>82</v>
      </c>
      <c r="R460" s="100" t="str">
        <f t="shared" si="3"/>
        <v>X</v>
      </c>
      <c r="S460" s="43"/>
      <c r="T460" s="50" t="str">
        <f>IF('PL1(Full)'!$N460&gt;=20,"x",IF(AND('PL1(Full)'!$N460&gt;=15,'PL1(Full)'!$P460&gt;60),"x",""))</f>
        <v/>
      </c>
      <c r="U460" s="50" t="str">
        <f>IF(AND('PL1(Full)'!$H460="Thôn",'PL1(Full)'!$I460&lt;75),"x",IF(AND('PL1(Full)'!$H460="Tổ",'PL1(Full)'!$I460&lt;100),"x","-"))</f>
        <v>x</v>
      </c>
      <c r="V460" s="34" t="str">
        <f>IF(AND('PL1(Full)'!$H460="Thôn",'PL1(Full)'!$I460&lt;140),"x",IF(AND('PL1(Full)'!$H460="Tổ",'PL1(Full)'!$I460&lt;210),"x","-"))</f>
        <v>x</v>
      </c>
      <c r="W460" s="51" t="str">
        <f t="shared" si="81"/>
        <v>Loại 3</v>
      </c>
      <c r="X460" s="50"/>
    </row>
    <row r="461" spans="1:24" ht="15.75" hidden="1" customHeight="1">
      <c r="A461" s="52">
        <f>_xlfn.AGGREGATE(4,7,A$6:A460)+1</f>
        <v>331</v>
      </c>
      <c r="B461" s="65" t="str">
        <f t="shared" si="80"/>
        <v>H. Chợ Đồn</v>
      </c>
      <c r="C461" s="14" t="s">
        <v>546</v>
      </c>
      <c r="D461" s="25" t="s">
        <v>36</v>
      </c>
      <c r="E461" s="25" t="s">
        <v>36</v>
      </c>
      <c r="F461" s="14" t="s">
        <v>547</v>
      </c>
      <c r="G461" s="25"/>
      <c r="H461" s="25" t="str">
        <f>IF(LEFT('PL1(Full)'!$F461,4)="Thôn","Thôn","Tổ")</f>
        <v>Thôn</v>
      </c>
      <c r="I461" s="20">
        <v>100</v>
      </c>
      <c r="J461" s="20">
        <v>462</v>
      </c>
      <c r="K461" s="20">
        <v>98</v>
      </c>
      <c r="L461" s="21">
        <f t="shared" si="0"/>
        <v>98</v>
      </c>
      <c r="M461" s="20">
        <v>1</v>
      </c>
      <c r="N461" s="22">
        <f t="shared" si="1"/>
        <v>1</v>
      </c>
      <c r="O461" s="20">
        <v>1</v>
      </c>
      <c r="P461" s="22">
        <f t="shared" si="2"/>
        <v>100</v>
      </c>
      <c r="Q461" s="87" t="s">
        <v>49</v>
      </c>
      <c r="R461" s="87" t="str">
        <f t="shared" si="3"/>
        <v>X</v>
      </c>
      <c r="S461" s="18"/>
      <c r="T461" s="26" t="str">
        <f>IF('PL1(Full)'!$N461&gt;=20,"x",IF(AND('PL1(Full)'!$N461&gt;=15,'PL1(Full)'!$P461&gt;60),"x",""))</f>
        <v/>
      </c>
      <c r="U461" s="27" t="str">
        <f>IF(AND('PL1(Full)'!$H461="Thôn",'PL1(Full)'!$I461&lt;75),"x",IF(AND('PL1(Full)'!$H461="Tổ",'PL1(Full)'!$I461&lt;100),"x","-"))</f>
        <v>-</v>
      </c>
      <c r="V461" s="28" t="str">
        <f>IF(AND('PL1(Full)'!$H461="Thôn",'PL1(Full)'!$I461&lt;140),"x",IF(AND('PL1(Full)'!$H461="Tổ",'PL1(Full)'!$I461&lt;210),"x","-"))</f>
        <v>x</v>
      </c>
      <c r="W461" s="29" t="str">
        <f t="shared" si="81"/>
        <v>Loại 2</v>
      </c>
      <c r="X461" s="25"/>
    </row>
    <row r="462" spans="1:24" ht="15.75" hidden="1" customHeight="1">
      <c r="A462" s="30">
        <f>_xlfn.AGGREGATE(4,7,A$6:A461)+1</f>
        <v>331</v>
      </c>
      <c r="B462" s="66" t="str">
        <f t="shared" si="80"/>
        <v>H. Chợ Đồn</v>
      </c>
      <c r="C462" s="31" t="str">
        <f t="shared" ref="C462:C467" si="92">C461</f>
        <v>X. Ngọc Phái</v>
      </c>
      <c r="D462" s="34"/>
      <c r="E462" s="34" t="s">
        <v>36</v>
      </c>
      <c r="F462" s="31" t="s">
        <v>548</v>
      </c>
      <c r="G462" s="34"/>
      <c r="H462" s="34" t="str">
        <f>IF(LEFT('PL1(Full)'!$F462,4)="Thôn","Thôn","Tổ")</f>
        <v>Thôn</v>
      </c>
      <c r="I462" s="36">
        <v>77</v>
      </c>
      <c r="J462" s="36">
        <v>338</v>
      </c>
      <c r="K462" s="36">
        <v>77</v>
      </c>
      <c r="L462" s="37">
        <f t="shared" si="0"/>
        <v>100</v>
      </c>
      <c r="M462" s="36">
        <v>4</v>
      </c>
      <c r="N462" s="38">
        <f t="shared" si="1"/>
        <v>5.1948051948051948</v>
      </c>
      <c r="O462" s="36">
        <v>4</v>
      </c>
      <c r="P462" s="38">
        <f t="shared" si="2"/>
        <v>100</v>
      </c>
      <c r="Q462" s="88" t="s">
        <v>56</v>
      </c>
      <c r="R462" s="88" t="str">
        <f t="shared" si="3"/>
        <v>X</v>
      </c>
      <c r="S462" s="32"/>
      <c r="T462" s="34" t="str">
        <f>IF('PL1(Full)'!$N462&gt;=20,"x",IF(AND('PL1(Full)'!$N462&gt;=15,'PL1(Full)'!$P462&gt;60),"x",""))</f>
        <v/>
      </c>
      <c r="U462" s="34" t="str">
        <f>IF(AND('PL1(Full)'!$H462="Thôn",'PL1(Full)'!$I462&lt;75),"x",IF(AND('PL1(Full)'!$H462="Tổ",'PL1(Full)'!$I462&lt;100),"x","-"))</f>
        <v>-</v>
      </c>
      <c r="V462" s="34" t="str">
        <f>IF(AND('PL1(Full)'!$H462="Thôn",'PL1(Full)'!$I462&lt;140),"x",IF(AND('PL1(Full)'!$H462="Tổ",'PL1(Full)'!$I462&lt;210),"x","-"))</f>
        <v>x</v>
      </c>
      <c r="W462" s="40" t="str">
        <f t="shared" si="81"/>
        <v>Loại 3</v>
      </c>
      <c r="X462" s="34"/>
    </row>
    <row r="463" spans="1:24" ht="15.75" hidden="1" customHeight="1">
      <c r="A463" s="30">
        <f>_xlfn.AGGREGATE(4,7,A$6:A462)+1</f>
        <v>331</v>
      </c>
      <c r="B463" s="66" t="str">
        <f t="shared" si="80"/>
        <v>H. Chợ Đồn</v>
      </c>
      <c r="C463" s="31" t="str">
        <f t="shared" si="92"/>
        <v>X. Ngọc Phái</v>
      </c>
      <c r="D463" s="34"/>
      <c r="E463" s="34" t="s">
        <v>36</v>
      </c>
      <c r="F463" s="31" t="s">
        <v>515</v>
      </c>
      <c r="G463" s="34"/>
      <c r="H463" s="34" t="str">
        <f>IF(LEFT('PL1(Full)'!$F463,4)="Thôn","Thôn","Tổ")</f>
        <v>Thôn</v>
      </c>
      <c r="I463" s="36">
        <v>84</v>
      </c>
      <c r="J463" s="36">
        <v>368</v>
      </c>
      <c r="K463" s="36">
        <v>82</v>
      </c>
      <c r="L463" s="37">
        <f t="shared" si="0"/>
        <v>97.61904761904762</v>
      </c>
      <c r="M463" s="36">
        <v>6</v>
      </c>
      <c r="N463" s="38">
        <f t="shared" si="1"/>
        <v>7.1428571428571432</v>
      </c>
      <c r="O463" s="36">
        <v>6</v>
      </c>
      <c r="P463" s="38">
        <f t="shared" si="2"/>
        <v>100</v>
      </c>
      <c r="Q463" s="88" t="s">
        <v>56</v>
      </c>
      <c r="R463" s="88" t="str">
        <f t="shared" si="3"/>
        <v>X</v>
      </c>
      <c r="S463" s="32"/>
      <c r="T463" s="34" t="str">
        <f>IF('PL1(Full)'!$N463&gt;=20,"x",IF(AND('PL1(Full)'!$N463&gt;=15,'PL1(Full)'!$P463&gt;60),"x",""))</f>
        <v/>
      </c>
      <c r="U463" s="34" t="str">
        <f>IF(AND('PL1(Full)'!$H463="Thôn",'PL1(Full)'!$I463&lt;75),"x",IF(AND('PL1(Full)'!$H463="Tổ",'PL1(Full)'!$I463&lt;100),"x","-"))</f>
        <v>-</v>
      </c>
      <c r="V463" s="34" t="str">
        <f>IF(AND('PL1(Full)'!$H463="Thôn",'PL1(Full)'!$I463&lt;140),"x",IF(AND('PL1(Full)'!$H463="Tổ",'PL1(Full)'!$I463&lt;210),"x","-"))</f>
        <v>x</v>
      </c>
      <c r="W463" s="40" t="str">
        <f t="shared" si="81"/>
        <v>Loại 3</v>
      </c>
      <c r="X463" s="34"/>
    </row>
    <row r="464" spans="1:24" ht="15.75" customHeight="1">
      <c r="A464" s="30">
        <f>_xlfn.AGGREGATE(4,7,A$6:A463)+1</f>
        <v>331</v>
      </c>
      <c r="B464" s="66" t="str">
        <f t="shared" si="80"/>
        <v>H. Chợ Đồn</v>
      </c>
      <c r="C464" s="31" t="str">
        <f t="shared" si="92"/>
        <v>X. Ngọc Phái</v>
      </c>
      <c r="D464" s="34"/>
      <c r="E464" s="34" t="s">
        <v>36</v>
      </c>
      <c r="F464" s="31" t="s">
        <v>549</v>
      </c>
      <c r="G464" s="34"/>
      <c r="H464" s="34" t="str">
        <f>IF(LEFT('PL1(Full)'!$F464,4)="Thôn","Thôn","Tổ")</f>
        <v>Thôn</v>
      </c>
      <c r="I464" s="36">
        <v>73</v>
      </c>
      <c r="J464" s="36">
        <v>325</v>
      </c>
      <c r="K464" s="36">
        <v>72</v>
      </c>
      <c r="L464" s="37">
        <f t="shared" si="0"/>
        <v>98.630136986301366</v>
      </c>
      <c r="M464" s="36">
        <v>0</v>
      </c>
      <c r="N464" s="38">
        <f t="shared" si="1"/>
        <v>0</v>
      </c>
      <c r="O464" s="36">
        <v>0</v>
      </c>
      <c r="P464" s="38">
        <f t="shared" si="2"/>
        <v>0</v>
      </c>
      <c r="Q464" s="88" t="s">
        <v>56</v>
      </c>
      <c r="R464" s="88" t="str">
        <f t="shared" si="3"/>
        <v>X</v>
      </c>
      <c r="S464" s="32"/>
      <c r="T464" s="34"/>
      <c r="U464" s="34" t="str">
        <f>IF(AND('PL1(Full)'!$H464="Thôn",'PL1(Full)'!$I464&lt;75),"x",IF(AND('PL1(Full)'!$H464="Tổ",'PL1(Full)'!$I464&lt;100),"x","-"))</f>
        <v>x</v>
      </c>
      <c r="V464" s="34" t="str">
        <f>IF(AND('PL1(Full)'!$H464="Thôn",'PL1(Full)'!$I464&lt;140),"x",IF(AND('PL1(Full)'!$H464="Tổ",'PL1(Full)'!$I464&lt;210),"x","-"))</f>
        <v>x</v>
      </c>
      <c r="W464" s="40" t="str">
        <f t="shared" si="81"/>
        <v>Loại 3</v>
      </c>
      <c r="X464" s="34"/>
    </row>
    <row r="465" spans="1:24" ht="15.75" customHeight="1">
      <c r="A465" s="30">
        <f>_xlfn.AGGREGATE(4,7,A$6:A464)+1</f>
        <v>332</v>
      </c>
      <c r="B465" s="66" t="str">
        <f t="shared" si="80"/>
        <v>H. Chợ Đồn</v>
      </c>
      <c r="C465" s="31" t="str">
        <f t="shared" si="92"/>
        <v>X. Ngọc Phái</v>
      </c>
      <c r="D465" s="34"/>
      <c r="E465" s="34" t="s">
        <v>36</v>
      </c>
      <c r="F465" s="31" t="s">
        <v>550</v>
      </c>
      <c r="G465" s="34"/>
      <c r="H465" s="34" t="str">
        <f>IF(LEFT('PL1(Full)'!$F465,4)="Thôn","Thôn","Tổ")</f>
        <v>Thôn</v>
      </c>
      <c r="I465" s="36">
        <v>71</v>
      </c>
      <c r="J465" s="36">
        <v>259</v>
      </c>
      <c r="K465" s="36">
        <v>59</v>
      </c>
      <c r="L465" s="37">
        <f t="shared" si="0"/>
        <v>83.098591549295776</v>
      </c>
      <c r="M465" s="36">
        <v>2</v>
      </c>
      <c r="N465" s="38">
        <f t="shared" si="1"/>
        <v>2.816901408450704</v>
      </c>
      <c r="O465" s="36">
        <v>2</v>
      </c>
      <c r="P465" s="38">
        <f t="shared" si="2"/>
        <v>100</v>
      </c>
      <c r="Q465" s="88" t="s">
        <v>56</v>
      </c>
      <c r="R465" s="88" t="str">
        <f t="shared" si="3"/>
        <v>X</v>
      </c>
      <c r="S465" s="32"/>
      <c r="T465" s="34" t="str">
        <f>IF('PL1(Full)'!$N465&gt;=20,"x",IF(AND('PL1(Full)'!$N465&gt;=15,'PL1(Full)'!$P465&gt;60),"x",""))</f>
        <v/>
      </c>
      <c r="U465" s="34" t="str">
        <f>IF(AND('PL1(Full)'!$H465="Thôn",'PL1(Full)'!$I465&lt;75),"x",IF(AND('PL1(Full)'!$H465="Tổ",'PL1(Full)'!$I465&lt;100),"x","-"))</f>
        <v>x</v>
      </c>
      <c r="V465" s="34" t="str">
        <f>IF(AND('PL1(Full)'!$H465="Thôn",'PL1(Full)'!$I465&lt;140),"x",IF(AND('PL1(Full)'!$H465="Tổ",'PL1(Full)'!$I465&lt;210),"x","-"))</f>
        <v>x</v>
      </c>
      <c r="W465" s="40" t="str">
        <f t="shared" si="81"/>
        <v>Loại 3</v>
      </c>
      <c r="X465" s="34"/>
    </row>
    <row r="466" spans="1:24" ht="15.75" hidden="1" customHeight="1">
      <c r="A466" s="30">
        <f>_xlfn.AGGREGATE(4,7,A$6:A465)+1</f>
        <v>333</v>
      </c>
      <c r="B466" s="66" t="str">
        <f t="shared" si="80"/>
        <v>H. Chợ Đồn</v>
      </c>
      <c r="C466" s="31" t="str">
        <f t="shared" si="92"/>
        <v>X. Ngọc Phái</v>
      </c>
      <c r="D466" s="34"/>
      <c r="E466" s="34" t="s">
        <v>36</v>
      </c>
      <c r="F466" s="31" t="s">
        <v>551</v>
      </c>
      <c r="G466" s="34"/>
      <c r="H466" s="34" t="str">
        <f>IF(LEFT('PL1(Full)'!$F466,4)="Thôn","Thôn","Tổ")</f>
        <v>Thôn</v>
      </c>
      <c r="I466" s="36">
        <v>91</v>
      </c>
      <c r="J466" s="36">
        <v>375</v>
      </c>
      <c r="K466" s="36">
        <v>88</v>
      </c>
      <c r="L466" s="37">
        <f t="shared" si="0"/>
        <v>96.703296703296701</v>
      </c>
      <c r="M466" s="36">
        <v>3</v>
      </c>
      <c r="N466" s="38">
        <f t="shared" si="1"/>
        <v>3.2967032967032965</v>
      </c>
      <c r="O466" s="36">
        <v>3</v>
      </c>
      <c r="P466" s="38">
        <f t="shared" si="2"/>
        <v>100</v>
      </c>
      <c r="Q466" s="88" t="s">
        <v>49</v>
      </c>
      <c r="R466" s="88" t="str">
        <f t="shared" si="3"/>
        <v>X</v>
      </c>
      <c r="S466" s="32"/>
      <c r="T466" s="34" t="str">
        <f>IF('PL1(Full)'!$N466&gt;=20,"x",IF(AND('PL1(Full)'!$N466&gt;=15,'PL1(Full)'!$P466&gt;60),"x",""))</f>
        <v/>
      </c>
      <c r="U466" s="34" t="str">
        <f>IF(AND('PL1(Full)'!$H466="Thôn",'PL1(Full)'!$I466&lt;75),"x",IF(AND('PL1(Full)'!$H466="Tổ",'PL1(Full)'!$I466&lt;100),"x","-"))</f>
        <v>-</v>
      </c>
      <c r="V466" s="34" t="str">
        <f>IF(AND('PL1(Full)'!$H466="Thôn",'PL1(Full)'!$I466&lt;140),"x",IF(AND('PL1(Full)'!$H466="Tổ",'PL1(Full)'!$I466&lt;210),"x","-"))</f>
        <v>x</v>
      </c>
      <c r="W466" s="40" t="str">
        <f t="shared" si="81"/>
        <v>Loại 3</v>
      </c>
      <c r="X466" s="34"/>
    </row>
    <row r="467" spans="1:24" ht="15.75" hidden="1" customHeight="1">
      <c r="A467" s="41">
        <f>_xlfn.AGGREGATE(4,7,A$6:A466)+1</f>
        <v>333</v>
      </c>
      <c r="B467" s="67" t="str">
        <f t="shared" si="80"/>
        <v>H. Chợ Đồn</v>
      </c>
      <c r="C467" s="42" t="str">
        <f t="shared" si="92"/>
        <v>X. Ngọc Phái</v>
      </c>
      <c r="D467" s="50"/>
      <c r="E467" s="50" t="s">
        <v>36</v>
      </c>
      <c r="F467" s="42" t="s">
        <v>552</v>
      </c>
      <c r="G467" s="50" t="s">
        <v>137</v>
      </c>
      <c r="H467" s="50" t="str">
        <f>IF(LEFT('PL1(Full)'!$F467,4)="Thôn","Thôn","Tổ")</f>
        <v>Thôn</v>
      </c>
      <c r="I467" s="46">
        <v>104</v>
      </c>
      <c r="J467" s="46">
        <v>426</v>
      </c>
      <c r="K467" s="46">
        <v>98</v>
      </c>
      <c r="L467" s="47">
        <f t="shared" si="0"/>
        <v>94.230769230769226</v>
      </c>
      <c r="M467" s="46">
        <v>1</v>
      </c>
      <c r="N467" s="48">
        <f t="shared" si="1"/>
        <v>0.96153846153846156</v>
      </c>
      <c r="O467" s="46">
        <v>1</v>
      </c>
      <c r="P467" s="48">
        <f t="shared" si="2"/>
        <v>100</v>
      </c>
      <c r="Q467" s="89" t="s">
        <v>49</v>
      </c>
      <c r="R467" s="89" t="str">
        <f t="shared" si="3"/>
        <v>X</v>
      </c>
      <c r="S467" s="43"/>
      <c r="T467" s="50" t="str">
        <f>IF('PL1(Full)'!$N467&gt;=20,"x",IF(AND('PL1(Full)'!$N467&gt;=15,'PL1(Full)'!$P467&gt;60),"x",""))</f>
        <v/>
      </c>
      <c r="U467" s="50" t="str">
        <f>IF(AND('PL1(Full)'!$H467="Thôn",'PL1(Full)'!$I467&lt;75),"x",IF(AND('PL1(Full)'!$H467="Tổ",'PL1(Full)'!$I467&lt;100),"x","-"))</f>
        <v>-</v>
      </c>
      <c r="V467" s="34" t="str">
        <f>IF(AND('PL1(Full)'!$H467="Thôn",'PL1(Full)'!$I467&lt;140),"x",IF(AND('PL1(Full)'!$H467="Tổ",'PL1(Full)'!$I467&lt;210),"x","-"))</f>
        <v>x</v>
      </c>
      <c r="W467" s="51" t="str">
        <f t="shared" si="81"/>
        <v>Loại 2</v>
      </c>
      <c r="X467" s="50"/>
    </row>
    <row r="468" spans="1:24" ht="15.75" hidden="1" customHeight="1">
      <c r="A468" s="52">
        <f>_xlfn.AGGREGATE(4,7,A$6:A467)+1</f>
        <v>333</v>
      </c>
      <c r="B468" s="65" t="str">
        <f t="shared" si="80"/>
        <v>H. Chợ Đồn</v>
      </c>
      <c r="C468" s="14" t="s">
        <v>553</v>
      </c>
      <c r="D468" s="25" t="s">
        <v>36</v>
      </c>
      <c r="E468" s="25" t="s">
        <v>36</v>
      </c>
      <c r="F468" s="14" t="s">
        <v>554</v>
      </c>
      <c r="G468" s="25" t="s">
        <v>40</v>
      </c>
      <c r="H468" s="25" t="str">
        <f>IF(LEFT('PL1(Full)'!$F468,4)="Thôn","Thôn","Tổ")</f>
        <v>Thôn</v>
      </c>
      <c r="I468" s="19">
        <v>93</v>
      </c>
      <c r="J468" s="20">
        <v>387</v>
      </c>
      <c r="K468" s="20">
        <v>92</v>
      </c>
      <c r="L468" s="21">
        <f t="shared" si="0"/>
        <v>98.924731182795696</v>
      </c>
      <c r="M468" s="19">
        <v>4</v>
      </c>
      <c r="N468" s="22">
        <f t="shared" si="1"/>
        <v>4.301075268817204</v>
      </c>
      <c r="O468" s="19">
        <v>4</v>
      </c>
      <c r="P468" s="22">
        <f t="shared" si="2"/>
        <v>100</v>
      </c>
      <c r="Q468" s="87" t="s">
        <v>49</v>
      </c>
      <c r="R468" s="87" t="str">
        <f t="shared" si="3"/>
        <v>X</v>
      </c>
      <c r="S468" s="18"/>
      <c r="T468" s="26" t="str">
        <f>IF('PL1(Full)'!$N468&gt;=20,"x",IF(AND('PL1(Full)'!$N468&gt;=15,'PL1(Full)'!$P468&gt;60),"x",""))</f>
        <v/>
      </c>
      <c r="U468" s="27" t="str">
        <f>IF(AND('PL1(Full)'!$H468="Thôn",'PL1(Full)'!$I468&lt;75),"x",IF(AND('PL1(Full)'!$H468="Tổ",'PL1(Full)'!$I468&lt;100),"x","-"))</f>
        <v>-</v>
      </c>
      <c r="V468" s="28" t="str">
        <f>IF(AND('PL1(Full)'!$H468="Thôn",'PL1(Full)'!$I468&lt;140),"x",IF(AND('PL1(Full)'!$H468="Tổ",'PL1(Full)'!$I468&lt;210),"x","-"))</f>
        <v>x</v>
      </c>
      <c r="W468" s="29" t="str">
        <f t="shared" si="81"/>
        <v>Loại 3</v>
      </c>
      <c r="X468" s="25"/>
    </row>
    <row r="469" spans="1:24" ht="15.75" hidden="1" customHeight="1">
      <c r="A469" s="30">
        <f>_xlfn.AGGREGATE(4,7,A$6:A468)+1</f>
        <v>333</v>
      </c>
      <c r="B469" s="66" t="str">
        <f t="shared" si="80"/>
        <v>H. Chợ Đồn</v>
      </c>
      <c r="C469" s="31" t="str">
        <f t="shared" ref="C469:C476" si="93">C468</f>
        <v>X. Phương Viên</v>
      </c>
      <c r="D469" s="34"/>
      <c r="E469" s="34" t="s">
        <v>36</v>
      </c>
      <c r="F469" s="31" t="s">
        <v>555</v>
      </c>
      <c r="G469" s="34" t="s">
        <v>40</v>
      </c>
      <c r="H469" s="34" t="str">
        <f>IF(LEFT('PL1(Full)'!$F469,4)="Thôn","Thôn","Tổ")</f>
        <v>Thôn</v>
      </c>
      <c r="I469" s="35">
        <v>103</v>
      </c>
      <c r="J469" s="36">
        <v>435</v>
      </c>
      <c r="K469" s="36">
        <v>103</v>
      </c>
      <c r="L469" s="37">
        <f t="shared" si="0"/>
        <v>100</v>
      </c>
      <c r="M469" s="35">
        <v>1</v>
      </c>
      <c r="N469" s="38">
        <f t="shared" si="1"/>
        <v>0.970873786407767</v>
      </c>
      <c r="O469" s="35">
        <v>1</v>
      </c>
      <c r="P469" s="38">
        <f t="shared" si="2"/>
        <v>100</v>
      </c>
      <c r="Q469" s="88" t="s">
        <v>49</v>
      </c>
      <c r="R469" s="88" t="str">
        <f t="shared" si="3"/>
        <v>X</v>
      </c>
      <c r="S469" s="32"/>
      <c r="T469" s="34" t="str">
        <f>IF('PL1(Full)'!$N469&gt;=20,"x",IF(AND('PL1(Full)'!$N469&gt;=15,'PL1(Full)'!$P469&gt;60),"x",""))</f>
        <v/>
      </c>
      <c r="U469" s="34" t="str">
        <f>IF(AND('PL1(Full)'!$H469="Thôn",'PL1(Full)'!$I469&lt;75),"x",IF(AND('PL1(Full)'!$H469="Tổ",'PL1(Full)'!$I469&lt;100),"x","-"))</f>
        <v>-</v>
      </c>
      <c r="V469" s="34" t="str">
        <f>IF(AND('PL1(Full)'!$H469="Thôn",'PL1(Full)'!$I469&lt;140),"x",IF(AND('PL1(Full)'!$H469="Tổ",'PL1(Full)'!$I469&lt;210),"x","-"))</f>
        <v>x</v>
      </c>
      <c r="W469" s="40" t="str">
        <f t="shared" si="81"/>
        <v>Loại 2</v>
      </c>
      <c r="X469" s="34"/>
    </row>
    <row r="470" spans="1:24" ht="15.75" hidden="1" customHeight="1">
      <c r="A470" s="30">
        <f>_xlfn.AGGREGATE(4,7,A$6:A469)+1</f>
        <v>333</v>
      </c>
      <c r="B470" s="66" t="str">
        <f t="shared" si="80"/>
        <v>H. Chợ Đồn</v>
      </c>
      <c r="C470" s="31" t="str">
        <f t="shared" si="93"/>
        <v>X. Phương Viên</v>
      </c>
      <c r="D470" s="34"/>
      <c r="E470" s="34" t="s">
        <v>36</v>
      </c>
      <c r="F470" s="31" t="s">
        <v>556</v>
      </c>
      <c r="G470" s="34" t="s">
        <v>40</v>
      </c>
      <c r="H470" s="34" t="str">
        <f>IF(LEFT('PL1(Full)'!$F470,4)="Thôn","Thôn","Tổ")</f>
        <v>Thôn</v>
      </c>
      <c r="I470" s="35">
        <v>106</v>
      </c>
      <c r="J470" s="36">
        <v>438</v>
      </c>
      <c r="K470" s="36">
        <v>103</v>
      </c>
      <c r="L470" s="37">
        <f t="shared" si="0"/>
        <v>97.169811320754718</v>
      </c>
      <c r="M470" s="35">
        <v>7</v>
      </c>
      <c r="N470" s="38">
        <f t="shared" si="1"/>
        <v>6.6037735849056602</v>
      </c>
      <c r="O470" s="35">
        <v>6</v>
      </c>
      <c r="P470" s="38">
        <f t="shared" si="2"/>
        <v>85.714285714285708</v>
      </c>
      <c r="Q470" s="88" t="s">
        <v>49</v>
      </c>
      <c r="R470" s="88" t="str">
        <f t="shared" si="3"/>
        <v>X</v>
      </c>
      <c r="S470" s="32"/>
      <c r="T470" s="34" t="str">
        <f>IF('PL1(Full)'!$N470&gt;=20,"x",IF(AND('PL1(Full)'!$N470&gt;=15,'PL1(Full)'!$P470&gt;60),"x",""))</f>
        <v/>
      </c>
      <c r="U470" s="34" t="str">
        <f>IF(AND('PL1(Full)'!$H470="Thôn",'PL1(Full)'!$I470&lt;75),"x",IF(AND('PL1(Full)'!$H470="Tổ",'PL1(Full)'!$I470&lt;100),"x","-"))</f>
        <v>-</v>
      </c>
      <c r="V470" s="34" t="str">
        <f>IF(AND('PL1(Full)'!$H470="Thôn",'PL1(Full)'!$I470&lt;140),"x",IF(AND('PL1(Full)'!$H470="Tổ",'PL1(Full)'!$I470&lt;210),"x","-"))</f>
        <v>x</v>
      </c>
      <c r="W470" s="40" t="str">
        <f t="shared" si="81"/>
        <v>Loại 2</v>
      </c>
      <c r="X470" s="34"/>
    </row>
    <row r="471" spans="1:24" ht="15.75" hidden="1" customHeight="1">
      <c r="A471" s="30">
        <f>_xlfn.AGGREGATE(4,7,A$6:A470)+1</f>
        <v>333</v>
      </c>
      <c r="B471" s="66" t="str">
        <f t="shared" si="80"/>
        <v>H. Chợ Đồn</v>
      </c>
      <c r="C471" s="31" t="str">
        <f t="shared" si="93"/>
        <v>X. Phương Viên</v>
      </c>
      <c r="D471" s="34"/>
      <c r="E471" s="34" t="s">
        <v>36</v>
      </c>
      <c r="F471" s="31" t="s">
        <v>557</v>
      </c>
      <c r="G471" s="34" t="s">
        <v>40</v>
      </c>
      <c r="H471" s="34" t="str">
        <f>IF(LEFT('PL1(Full)'!$F471,4)="Thôn","Thôn","Tổ")</f>
        <v>Thôn</v>
      </c>
      <c r="I471" s="35">
        <v>121</v>
      </c>
      <c r="J471" s="36">
        <v>495</v>
      </c>
      <c r="K471" s="36">
        <v>121</v>
      </c>
      <c r="L471" s="37">
        <f t="shared" si="0"/>
        <v>100</v>
      </c>
      <c r="M471" s="35">
        <v>0</v>
      </c>
      <c r="N471" s="38">
        <f t="shared" si="1"/>
        <v>0</v>
      </c>
      <c r="O471" s="35">
        <v>0</v>
      </c>
      <c r="P471" s="38">
        <f t="shared" si="2"/>
        <v>0</v>
      </c>
      <c r="Q471" s="88" t="s">
        <v>49</v>
      </c>
      <c r="R471" s="88" t="str">
        <f t="shared" si="3"/>
        <v>X</v>
      </c>
      <c r="S471" s="32"/>
      <c r="T471" s="34" t="str">
        <f>IF('PL1(Full)'!$N471&gt;=20,"x",IF(AND('PL1(Full)'!$N471&gt;=15,'PL1(Full)'!$P471&gt;60),"x",""))</f>
        <v/>
      </c>
      <c r="U471" s="34" t="str">
        <f>IF(AND('PL1(Full)'!$H471="Thôn",'PL1(Full)'!$I471&lt;75),"x",IF(AND('PL1(Full)'!$H471="Tổ",'PL1(Full)'!$I471&lt;100),"x","-"))</f>
        <v>-</v>
      </c>
      <c r="V471" s="34" t="str">
        <f>IF(AND('PL1(Full)'!$H471="Thôn",'PL1(Full)'!$I471&lt;140),"x",IF(AND('PL1(Full)'!$H471="Tổ",'PL1(Full)'!$I471&lt;210),"x","-"))</f>
        <v>x</v>
      </c>
      <c r="W471" s="40" t="str">
        <f t="shared" si="81"/>
        <v>Loại 2</v>
      </c>
      <c r="X471" s="34"/>
    </row>
    <row r="472" spans="1:24" ht="15.75" hidden="1" customHeight="1">
      <c r="A472" s="30">
        <f>_xlfn.AGGREGATE(4,7,A$6:A471)+1</f>
        <v>333</v>
      </c>
      <c r="B472" s="66" t="str">
        <f t="shared" si="80"/>
        <v>H. Chợ Đồn</v>
      </c>
      <c r="C472" s="31" t="str">
        <f t="shared" si="93"/>
        <v>X. Phương Viên</v>
      </c>
      <c r="D472" s="34"/>
      <c r="E472" s="34" t="s">
        <v>36</v>
      </c>
      <c r="F472" s="31" t="s">
        <v>558</v>
      </c>
      <c r="G472" s="34"/>
      <c r="H472" s="34" t="str">
        <f>IF(LEFT('PL1(Full)'!$F472,4)="Thôn","Thôn","Tổ")</f>
        <v>Thôn</v>
      </c>
      <c r="I472" s="35">
        <v>76</v>
      </c>
      <c r="J472" s="36">
        <v>203</v>
      </c>
      <c r="K472" s="36">
        <v>76</v>
      </c>
      <c r="L472" s="37">
        <f t="shared" si="0"/>
        <v>100</v>
      </c>
      <c r="M472" s="35">
        <v>1</v>
      </c>
      <c r="N472" s="38">
        <f t="shared" si="1"/>
        <v>1.3157894736842106</v>
      </c>
      <c r="O472" s="35">
        <v>1</v>
      </c>
      <c r="P472" s="38">
        <f t="shared" si="2"/>
        <v>100</v>
      </c>
      <c r="Q472" s="88" t="s">
        <v>56</v>
      </c>
      <c r="R472" s="88" t="str">
        <f t="shared" si="3"/>
        <v>X</v>
      </c>
      <c r="S472" s="32"/>
      <c r="T472" s="34" t="str">
        <f>IF('PL1(Full)'!$N472&gt;=20,"x",IF(AND('PL1(Full)'!$N472&gt;=15,'PL1(Full)'!$P472&gt;60),"x",""))</f>
        <v/>
      </c>
      <c r="U472" s="34" t="str">
        <f>IF(AND('PL1(Full)'!$H472="Thôn",'PL1(Full)'!$I472&lt;75),"x",IF(AND('PL1(Full)'!$H472="Tổ",'PL1(Full)'!$I472&lt;100),"x","-"))</f>
        <v>-</v>
      </c>
      <c r="V472" s="34" t="str">
        <f>IF(AND('PL1(Full)'!$H472="Thôn",'PL1(Full)'!$I472&lt;140),"x",IF(AND('PL1(Full)'!$H472="Tổ",'PL1(Full)'!$I472&lt;210),"x","-"))</f>
        <v>x</v>
      </c>
      <c r="W472" s="40" t="str">
        <f t="shared" si="81"/>
        <v>Loại 3</v>
      </c>
      <c r="X472" s="34"/>
    </row>
    <row r="473" spans="1:24" ht="15.75" hidden="1" customHeight="1">
      <c r="A473" s="30">
        <f>_xlfn.AGGREGATE(4,7,A$6:A472)+1</f>
        <v>333</v>
      </c>
      <c r="B473" s="66" t="str">
        <f t="shared" si="80"/>
        <v>H. Chợ Đồn</v>
      </c>
      <c r="C473" s="31" t="str">
        <f t="shared" si="93"/>
        <v>X. Phương Viên</v>
      </c>
      <c r="D473" s="34"/>
      <c r="E473" s="34" t="s">
        <v>36</v>
      </c>
      <c r="F473" s="31" t="s">
        <v>118</v>
      </c>
      <c r="G473" s="34" t="s">
        <v>40</v>
      </c>
      <c r="H473" s="34" t="str">
        <f>IF(LEFT('PL1(Full)'!$F473,4)="Thôn","Thôn","Tổ")</f>
        <v>Thôn</v>
      </c>
      <c r="I473" s="35">
        <v>75</v>
      </c>
      <c r="J473" s="36">
        <v>308</v>
      </c>
      <c r="K473" s="36">
        <v>68</v>
      </c>
      <c r="L473" s="37">
        <f t="shared" si="0"/>
        <v>90.666666666666671</v>
      </c>
      <c r="M473" s="35">
        <v>0</v>
      </c>
      <c r="N473" s="38">
        <f t="shared" si="1"/>
        <v>0</v>
      </c>
      <c r="O473" s="35">
        <v>0</v>
      </c>
      <c r="P473" s="38">
        <f t="shared" si="2"/>
        <v>0</v>
      </c>
      <c r="Q473" s="88" t="s">
        <v>56</v>
      </c>
      <c r="R473" s="88" t="str">
        <f t="shared" si="3"/>
        <v>X</v>
      </c>
      <c r="S473" s="32"/>
      <c r="T473" s="34" t="str">
        <f>IF('PL1(Full)'!$N473&gt;=20,"x",IF(AND('PL1(Full)'!$N473&gt;=15,'PL1(Full)'!$P473&gt;60),"x",""))</f>
        <v/>
      </c>
      <c r="U473" s="34" t="str">
        <f>IF(AND('PL1(Full)'!$H473="Thôn",'PL1(Full)'!$I473&lt;75),"x",IF(AND('PL1(Full)'!$H473="Tổ",'PL1(Full)'!$I473&lt;100),"x","-"))</f>
        <v>-</v>
      </c>
      <c r="V473" s="34" t="str">
        <f>IF(AND('PL1(Full)'!$H473="Thôn",'PL1(Full)'!$I473&lt;140),"x",IF(AND('PL1(Full)'!$H473="Tổ",'PL1(Full)'!$I473&lt;210),"x","-"))</f>
        <v>x</v>
      </c>
      <c r="W473" s="40" t="str">
        <f t="shared" si="81"/>
        <v>Loại 3</v>
      </c>
      <c r="X473" s="34"/>
    </row>
    <row r="474" spans="1:24" ht="15.75" hidden="1" customHeight="1">
      <c r="A474" s="30">
        <f>_xlfn.AGGREGATE(4,7,A$6:A473)+1</f>
        <v>333</v>
      </c>
      <c r="B474" s="66" t="str">
        <f t="shared" si="80"/>
        <v>H. Chợ Đồn</v>
      </c>
      <c r="C474" s="31" t="str">
        <f t="shared" si="93"/>
        <v>X. Phương Viên</v>
      </c>
      <c r="D474" s="34"/>
      <c r="E474" s="34" t="s">
        <v>36</v>
      </c>
      <c r="F474" s="31" t="s">
        <v>559</v>
      </c>
      <c r="G474" s="34" t="s">
        <v>40</v>
      </c>
      <c r="H474" s="34" t="str">
        <f>IF(LEFT('PL1(Full)'!$F474,4)="Thôn","Thôn","Tổ")</f>
        <v>Thôn</v>
      </c>
      <c r="I474" s="35">
        <v>125</v>
      </c>
      <c r="J474" s="36">
        <v>526</v>
      </c>
      <c r="K474" s="36">
        <v>125</v>
      </c>
      <c r="L474" s="37">
        <f t="shared" si="0"/>
        <v>100</v>
      </c>
      <c r="M474" s="35">
        <v>3</v>
      </c>
      <c r="N474" s="38">
        <f t="shared" si="1"/>
        <v>2.4</v>
      </c>
      <c r="O474" s="35">
        <v>3</v>
      </c>
      <c r="P474" s="38">
        <f t="shared" si="2"/>
        <v>100</v>
      </c>
      <c r="Q474" s="88" t="s">
        <v>49</v>
      </c>
      <c r="R474" s="88" t="str">
        <f t="shared" si="3"/>
        <v>X</v>
      </c>
      <c r="S474" s="32"/>
      <c r="T474" s="34" t="str">
        <f>IF('PL1(Full)'!$N474&gt;=20,"x",IF(AND('PL1(Full)'!$N474&gt;=15,'PL1(Full)'!$P474&gt;60),"x",""))</f>
        <v/>
      </c>
      <c r="U474" s="34" t="str">
        <f>IF(AND('PL1(Full)'!$H474="Thôn",'PL1(Full)'!$I474&lt;75),"x",IF(AND('PL1(Full)'!$H474="Tổ",'PL1(Full)'!$I474&lt;100),"x","-"))</f>
        <v>-</v>
      </c>
      <c r="V474" s="34" t="str">
        <f>IF(AND('PL1(Full)'!$H474="Thôn",'PL1(Full)'!$I474&lt;140),"x",IF(AND('PL1(Full)'!$H474="Tổ",'PL1(Full)'!$I474&lt;210),"x","-"))</f>
        <v>x</v>
      </c>
      <c r="W474" s="40" t="str">
        <f t="shared" si="81"/>
        <v>Loại 2</v>
      </c>
      <c r="X474" s="34"/>
    </row>
    <row r="475" spans="1:24" ht="15.75" hidden="1" customHeight="1">
      <c r="A475" s="30">
        <f>_xlfn.AGGREGATE(4,7,A$6:A474)+1</f>
        <v>333</v>
      </c>
      <c r="B475" s="66" t="str">
        <f t="shared" si="80"/>
        <v>H. Chợ Đồn</v>
      </c>
      <c r="C475" s="31" t="str">
        <f t="shared" si="93"/>
        <v>X. Phương Viên</v>
      </c>
      <c r="D475" s="34"/>
      <c r="E475" s="34" t="s">
        <v>36</v>
      </c>
      <c r="F475" s="31" t="s">
        <v>237</v>
      </c>
      <c r="G475" s="34" t="s">
        <v>40</v>
      </c>
      <c r="H475" s="34" t="str">
        <f>IF(LEFT('PL1(Full)'!$F475,4)="Thôn","Thôn","Tổ")</f>
        <v>Thôn</v>
      </c>
      <c r="I475" s="35">
        <v>75</v>
      </c>
      <c r="J475" s="36">
        <v>345</v>
      </c>
      <c r="K475" s="36">
        <v>75</v>
      </c>
      <c r="L475" s="37">
        <f t="shared" si="0"/>
        <v>100</v>
      </c>
      <c r="M475" s="35">
        <v>3</v>
      </c>
      <c r="N475" s="38">
        <f t="shared" si="1"/>
        <v>4</v>
      </c>
      <c r="O475" s="35">
        <v>3</v>
      </c>
      <c r="P475" s="38">
        <f t="shared" si="2"/>
        <v>100</v>
      </c>
      <c r="Q475" s="88" t="s">
        <v>56</v>
      </c>
      <c r="R475" s="88" t="str">
        <f t="shared" si="3"/>
        <v>X</v>
      </c>
      <c r="S475" s="32"/>
      <c r="T475" s="34" t="str">
        <f>IF('PL1(Full)'!$N475&gt;=20,"x",IF(AND('PL1(Full)'!$N475&gt;=15,'PL1(Full)'!$P475&gt;60),"x",""))</f>
        <v/>
      </c>
      <c r="U475" s="34" t="str">
        <f>IF(AND('PL1(Full)'!$H475="Thôn",'PL1(Full)'!$I475&lt;75),"x",IF(AND('PL1(Full)'!$H475="Tổ",'PL1(Full)'!$I475&lt;100),"x","-"))</f>
        <v>-</v>
      </c>
      <c r="V475" s="34" t="str">
        <f>IF(AND('PL1(Full)'!$H475="Thôn",'PL1(Full)'!$I475&lt;140),"x",IF(AND('PL1(Full)'!$H475="Tổ",'PL1(Full)'!$I475&lt;210),"x","-"))</f>
        <v>x</v>
      </c>
      <c r="W475" s="40" t="str">
        <f t="shared" si="81"/>
        <v>Loại 3</v>
      </c>
      <c r="X475" s="34"/>
    </row>
    <row r="476" spans="1:24" ht="15.75" hidden="1" customHeight="1">
      <c r="A476" s="41">
        <f>_xlfn.AGGREGATE(4,7,A$6:A475)+1</f>
        <v>333</v>
      </c>
      <c r="B476" s="67" t="str">
        <f t="shared" si="80"/>
        <v>H. Chợ Đồn</v>
      </c>
      <c r="C476" s="42" t="str">
        <f t="shared" si="93"/>
        <v>X. Phương Viên</v>
      </c>
      <c r="D476" s="50"/>
      <c r="E476" s="50" t="s">
        <v>36</v>
      </c>
      <c r="F476" s="42" t="s">
        <v>473</v>
      </c>
      <c r="G476" s="50" t="s">
        <v>40</v>
      </c>
      <c r="H476" s="50" t="str">
        <f>IF(LEFT('PL1(Full)'!$F476,4)="Thôn","Thôn","Tổ")</f>
        <v>Thôn</v>
      </c>
      <c r="I476" s="45">
        <v>121</v>
      </c>
      <c r="J476" s="46">
        <v>502</v>
      </c>
      <c r="K476" s="46">
        <v>96</v>
      </c>
      <c r="L476" s="47">
        <f t="shared" si="0"/>
        <v>79.338842975206617</v>
      </c>
      <c r="M476" s="45">
        <v>1</v>
      </c>
      <c r="N476" s="48">
        <f t="shared" si="1"/>
        <v>0.82644628099173556</v>
      </c>
      <c r="O476" s="45">
        <v>1</v>
      </c>
      <c r="P476" s="48">
        <f t="shared" si="2"/>
        <v>100</v>
      </c>
      <c r="Q476" s="89" t="s">
        <v>49</v>
      </c>
      <c r="R476" s="89" t="str">
        <f t="shared" si="3"/>
        <v>X</v>
      </c>
      <c r="S476" s="43"/>
      <c r="T476" s="50" t="str">
        <f>IF('PL1(Full)'!$N476&gt;=20,"x",IF(AND('PL1(Full)'!$N476&gt;=15,'PL1(Full)'!$P476&gt;60),"x",""))</f>
        <v/>
      </c>
      <c r="U476" s="50" t="str">
        <f>IF(AND('PL1(Full)'!$H476="Thôn",'PL1(Full)'!$I476&lt;75),"x",IF(AND('PL1(Full)'!$H476="Tổ",'PL1(Full)'!$I476&lt;100),"x","-"))</f>
        <v>-</v>
      </c>
      <c r="V476" s="50" t="str">
        <f>IF(AND('PL1(Full)'!$H476="Thôn",'PL1(Full)'!$I476&lt;140),"x",IF(AND('PL1(Full)'!$H476="Tổ",'PL1(Full)'!$I476&lt;210),"x","-"))</f>
        <v>x</v>
      </c>
      <c r="W476" s="51" t="str">
        <f t="shared" si="81"/>
        <v>Loại 2</v>
      </c>
      <c r="X476" s="50"/>
    </row>
    <row r="477" spans="1:24" ht="15.75" customHeight="1">
      <c r="A477" s="52">
        <f>_xlfn.AGGREGATE(4,7,A$6:A476)+1</f>
        <v>333</v>
      </c>
      <c r="B477" s="65" t="str">
        <f t="shared" si="80"/>
        <v>H. Chợ Đồn</v>
      </c>
      <c r="C477" s="14" t="s">
        <v>560</v>
      </c>
      <c r="D477" s="25" t="s">
        <v>36</v>
      </c>
      <c r="E477" s="25" t="s">
        <v>36</v>
      </c>
      <c r="F477" s="14" t="s">
        <v>561</v>
      </c>
      <c r="G477" s="25"/>
      <c r="H477" s="25" t="str">
        <f>IF(LEFT('PL1(Full)'!$F477,4)="Thôn","Thôn","Tổ")</f>
        <v>Thôn</v>
      </c>
      <c r="I477" s="20">
        <v>73</v>
      </c>
      <c r="J477" s="20">
        <v>309</v>
      </c>
      <c r="K477" s="20">
        <v>71</v>
      </c>
      <c r="L477" s="21">
        <f t="shared" si="0"/>
        <v>97.260273972602747</v>
      </c>
      <c r="M477" s="20">
        <v>0</v>
      </c>
      <c r="N477" s="22">
        <f t="shared" si="1"/>
        <v>0</v>
      </c>
      <c r="O477" s="20">
        <v>0</v>
      </c>
      <c r="P477" s="22">
        <f t="shared" si="2"/>
        <v>0</v>
      </c>
      <c r="Q477" s="87" t="s">
        <v>49</v>
      </c>
      <c r="R477" s="87" t="str">
        <f t="shared" si="3"/>
        <v>X</v>
      </c>
      <c r="S477" s="18"/>
      <c r="T477" s="26"/>
      <c r="U477" s="27" t="str">
        <f>IF(AND('PL1(Full)'!$H477="Thôn",'PL1(Full)'!$I477&lt;75),"x",IF(AND('PL1(Full)'!$H477="Tổ",'PL1(Full)'!$I477&lt;100),"x","-"))</f>
        <v>x</v>
      </c>
      <c r="V477" s="28" t="str">
        <f>IF(AND('PL1(Full)'!$H477="Thôn",'PL1(Full)'!$I477&lt;140),"x",IF(AND('PL1(Full)'!$H477="Tổ",'PL1(Full)'!$I477&lt;210),"x","-"))</f>
        <v>x</v>
      </c>
      <c r="W477" s="29" t="str">
        <f t="shared" si="81"/>
        <v>Loại 3</v>
      </c>
      <c r="X477" s="25"/>
    </row>
    <row r="478" spans="1:24" ht="15.75" customHeight="1">
      <c r="A478" s="30">
        <f>_xlfn.AGGREGATE(4,7,A$6:A477)+1</f>
        <v>334</v>
      </c>
      <c r="B478" s="66" t="str">
        <f t="shared" si="80"/>
        <v>H. Chợ Đồn</v>
      </c>
      <c r="C478" s="31" t="str">
        <f t="shared" ref="C478:C484" si="94">C477</f>
        <v>X. Quảng Bạch</v>
      </c>
      <c r="D478" s="34"/>
      <c r="E478" s="34" t="s">
        <v>36</v>
      </c>
      <c r="F478" s="31" t="s">
        <v>562</v>
      </c>
      <c r="G478" s="34"/>
      <c r="H478" s="34" t="str">
        <f>IF(LEFT('PL1(Full)'!$F478,4)="Thôn","Thôn","Tổ")</f>
        <v>Thôn</v>
      </c>
      <c r="I478" s="36">
        <v>36</v>
      </c>
      <c r="J478" s="36">
        <v>116</v>
      </c>
      <c r="K478" s="36">
        <v>36</v>
      </c>
      <c r="L478" s="37">
        <f t="shared" si="0"/>
        <v>100</v>
      </c>
      <c r="M478" s="36">
        <v>2</v>
      </c>
      <c r="N478" s="38">
        <f t="shared" si="1"/>
        <v>5.5555555555555554</v>
      </c>
      <c r="O478" s="36">
        <v>2</v>
      </c>
      <c r="P478" s="38">
        <f t="shared" si="2"/>
        <v>100</v>
      </c>
      <c r="Q478" s="88" t="s">
        <v>56</v>
      </c>
      <c r="R478" s="88" t="str">
        <f t="shared" si="3"/>
        <v>X</v>
      </c>
      <c r="S478" s="32"/>
      <c r="T478" s="34" t="str">
        <f>IF('PL1(Full)'!$N478&gt;=20,"x",IF(AND('PL1(Full)'!$N478&gt;=15,'PL1(Full)'!$P478&gt;60),"x",""))</f>
        <v/>
      </c>
      <c r="U478" s="34" t="str">
        <f>IF(AND('PL1(Full)'!$H478="Thôn",'PL1(Full)'!$I478&lt;75),"x",IF(AND('PL1(Full)'!$H478="Tổ",'PL1(Full)'!$I478&lt;100),"x","-"))</f>
        <v>x</v>
      </c>
      <c r="V478" s="34" t="str">
        <f>IF(AND('PL1(Full)'!$H478="Thôn",'PL1(Full)'!$I478&lt;140),"x",IF(AND('PL1(Full)'!$H478="Tổ",'PL1(Full)'!$I478&lt;210),"x","-"))</f>
        <v>x</v>
      </c>
      <c r="W478" s="40" t="str">
        <f t="shared" si="81"/>
        <v>Loại 3</v>
      </c>
      <c r="X478" s="34"/>
    </row>
    <row r="479" spans="1:24" ht="15.75" customHeight="1">
      <c r="A479" s="30">
        <f>_xlfn.AGGREGATE(4,7,A$6:A478)+1</f>
        <v>335</v>
      </c>
      <c r="B479" s="66" t="str">
        <f t="shared" si="80"/>
        <v>H. Chợ Đồn</v>
      </c>
      <c r="C479" s="31" t="str">
        <f t="shared" si="94"/>
        <v>X. Quảng Bạch</v>
      </c>
      <c r="D479" s="34"/>
      <c r="E479" s="34" t="s">
        <v>36</v>
      </c>
      <c r="F479" s="31" t="s">
        <v>563</v>
      </c>
      <c r="G479" s="34"/>
      <c r="H479" s="34" t="str">
        <f>IF(LEFT('PL1(Full)'!$F479,4)="Thôn","Thôn","Tổ")</f>
        <v>Thôn</v>
      </c>
      <c r="I479" s="36">
        <v>72</v>
      </c>
      <c r="J479" s="36">
        <v>286</v>
      </c>
      <c r="K479" s="36">
        <v>72</v>
      </c>
      <c r="L479" s="37">
        <f t="shared" si="0"/>
        <v>100</v>
      </c>
      <c r="M479" s="36">
        <v>2</v>
      </c>
      <c r="N479" s="38">
        <f t="shared" si="1"/>
        <v>2.7777777777777777</v>
      </c>
      <c r="O479" s="36">
        <v>2</v>
      </c>
      <c r="P479" s="38">
        <f t="shared" si="2"/>
        <v>100</v>
      </c>
      <c r="Q479" s="88" t="s">
        <v>49</v>
      </c>
      <c r="R479" s="88" t="str">
        <f t="shared" si="3"/>
        <v>X</v>
      </c>
      <c r="S479" s="32"/>
      <c r="T479" s="34" t="str">
        <f>IF('PL1(Full)'!$N479&gt;=20,"x",IF(AND('PL1(Full)'!$N479&gt;=15,'PL1(Full)'!$P479&gt;60),"x",""))</f>
        <v/>
      </c>
      <c r="U479" s="34" t="str">
        <f>IF(AND('PL1(Full)'!$H479="Thôn",'PL1(Full)'!$I479&lt;75),"x",IF(AND('PL1(Full)'!$H479="Tổ",'PL1(Full)'!$I479&lt;100),"x","-"))</f>
        <v>x</v>
      </c>
      <c r="V479" s="34" t="str">
        <f>IF(AND('PL1(Full)'!$H479="Thôn",'PL1(Full)'!$I479&lt;140),"x",IF(AND('PL1(Full)'!$H479="Tổ",'PL1(Full)'!$I479&lt;210),"x","-"))</f>
        <v>x</v>
      </c>
      <c r="W479" s="40" t="str">
        <f t="shared" si="81"/>
        <v>Loại 3</v>
      </c>
      <c r="X479" s="34"/>
    </row>
    <row r="480" spans="1:24" ht="15.75" hidden="1" customHeight="1">
      <c r="A480" s="30">
        <f>_xlfn.AGGREGATE(4,7,A$6:A479)+1</f>
        <v>336</v>
      </c>
      <c r="B480" s="66" t="str">
        <f t="shared" si="80"/>
        <v>H. Chợ Đồn</v>
      </c>
      <c r="C480" s="31" t="str">
        <f t="shared" si="94"/>
        <v>X. Quảng Bạch</v>
      </c>
      <c r="D480" s="34"/>
      <c r="E480" s="34" t="s">
        <v>36</v>
      </c>
      <c r="F480" s="31" t="s">
        <v>564</v>
      </c>
      <c r="G480" s="34"/>
      <c r="H480" s="34" t="str">
        <f>IF(LEFT('PL1(Full)'!$F480,4)="Thôn","Thôn","Tổ")</f>
        <v>Thôn</v>
      </c>
      <c r="I480" s="36">
        <v>79</v>
      </c>
      <c r="J480" s="36">
        <v>296</v>
      </c>
      <c r="K480" s="36">
        <v>77</v>
      </c>
      <c r="L480" s="37">
        <f t="shared" si="0"/>
        <v>97.468354430379748</v>
      </c>
      <c r="M480" s="36">
        <v>4</v>
      </c>
      <c r="N480" s="38">
        <f t="shared" si="1"/>
        <v>5.0632911392405067</v>
      </c>
      <c r="O480" s="36">
        <v>4</v>
      </c>
      <c r="P480" s="38">
        <f t="shared" si="2"/>
        <v>100</v>
      </c>
      <c r="Q480" s="88" t="s">
        <v>49</v>
      </c>
      <c r="R480" s="88" t="str">
        <f t="shared" si="3"/>
        <v>X</v>
      </c>
      <c r="S480" s="32"/>
      <c r="T480" s="34" t="str">
        <f>IF('PL1(Full)'!$N480&gt;=20,"x",IF(AND('PL1(Full)'!$N480&gt;=15,'PL1(Full)'!$P480&gt;60),"x",""))</f>
        <v/>
      </c>
      <c r="U480" s="34" t="str">
        <f>IF(AND('PL1(Full)'!$H480="Thôn",'PL1(Full)'!$I480&lt;75),"x",IF(AND('PL1(Full)'!$H480="Tổ",'PL1(Full)'!$I480&lt;100),"x","-"))</f>
        <v>-</v>
      </c>
      <c r="V480" s="34" t="str">
        <f>IF(AND('PL1(Full)'!$H480="Thôn",'PL1(Full)'!$I480&lt;140),"x",IF(AND('PL1(Full)'!$H480="Tổ",'PL1(Full)'!$I480&lt;210),"x","-"))</f>
        <v>x</v>
      </c>
      <c r="W480" s="40" t="str">
        <f t="shared" si="81"/>
        <v>Loại 3</v>
      </c>
      <c r="X480" s="34"/>
    </row>
    <row r="481" spans="1:24" ht="15.75" customHeight="1">
      <c r="A481" s="30">
        <f>_xlfn.AGGREGATE(4,7,A$6:A480)+1</f>
        <v>336</v>
      </c>
      <c r="B481" s="66" t="str">
        <f t="shared" si="80"/>
        <v>H. Chợ Đồn</v>
      </c>
      <c r="C481" s="31" t="str">
        <f t="shared" si="94"/>
        <v>X. Quảng Bạch</v>
      </c>
      <c r="D481" s="34"/>
      <c r="E481" s="34" t="s">
        <v>36</v>
      </c>
      <c r="F481" s="31" t="s">
        <v>565</v>
      </c>
      <c r="G481" s="34"/>
      <c r="H481" s="34" t="str">
        <f>IF(LEFT('PL1(Full)'!$F481,4)="Thôn","Thôn","Tổ")</f>
        <v>Thôn</v>
      </c>
      <c r="I481" s="36">
        <v>50</v>
      </c>
      <c r="J481" s="36">
        <v>194</v>
      </c>
      <c r="K481" s="36">
        <v>39</v>
      </c>
      <c r="L481" s="37">
        <f t="shared" si="0"/>
        <v>78</v>
      </c>
      <c r="M481" s="36">
        <v>10</v>
      </c>
      <c r="N481" s="38">
        <f t="shared" si="1"/>
        <v>20</v>
      </c>
      <c r="O481" s="36">
        <v>8</v>
      </c>
      <c r="P481" s="38">
        <f t="shared" si="2"/>
        <v>80</v>
      </c>
      <c r="Q481" s="88" t="s">
        <v>49</v>
      </c>
      <c r="R481" s="88" t="str">
        <f t="shared" si="3"/>
        <v>X</v>
      </c>
      <c r="S481" s="32" t="s">
        <v>60</v>
      </c>
      <c r="T481" s="34" t="str">
        <f>IF('PL1(Full)'!$N481&gt;=20,"x",IF(AND('PL1(Full)'!$N481&gt;=15,'PL1(Full)'!$P481&gt;60),"x",""))</f>
        <v>x</v>
      </c>
      <c r="U481" s="34" t="str">
        <f>IF(AND('PL1(Full)'!$H481="Thôn",'PL1(Full)'!$I481&lt;75),"x",IF(AND('PL1(Full)'!$H481="Tổ",'PL1(Full)'!$I481&lt;100),"x","-"))</f>
        <v>x</v>
      </c>
      <c r="V481" s="34" t="str">
        <f>IF(AND('PL1(Full)'!$H481="Thôn",'PL1(Full)'!$I481&lt;140),"x",IF(AND('PL1(Full)'!$H481="Tổ",'PL1(Full)'!$I481&lt;210),"x","-"))</f>
        <v>x</v>
      </c>
      <c r="W481" s="40" t="str">
        <f t="shared" si="81"/>
        <v>Loại 3</v>
      </c>
      <c r="X481" s="34"/>
    </row>
    <row r="482" spans="1:24" ht="15.75" hidden="1" customHeight="1">
      <c r="A482" s="30">
        <f>_xlfn.AGGREGATE(4,7,A$6:A481)+1</f>
        <v>337</v>
      </c>
      <c r="B482" s="66" t="str">
        <f t="shared" si="80"/>
        <v>H. Chợ Đồn</v>
      </c>
      <c r="C482" s="31" t="str">
        <f t="shared" si="94"/>
        <v>X. Quảng Bạch</v>
      </c>
      <c r="D482" s="34"/>
      <c r="E482" s="34" t="s">
        <v>36</v>
      </c>
      <c r="F482" s="31" t="s">
        <v>566</v>
      </c>
      <c r="G482" s="34"/>
      <c r="H482" s="34" t="str">
        <f>IF(LEFT('PL1(Full)'!$F482,4)="Thôn","Thôn","Tổ")</f>
        <v>Thôn</v>
      </c>
      <c r="I482" s="36">
        <v>81</v>
      </c>
      <c r="J482" s="36">
        <v>335</v>
      </c>
      <c r="K482" s="36">
        <v>79</v>
      </c>
      <c r="L482" s="37">
        <f t="shared" si="0"/>
        <v>97.53086419753086</v>
      </c>
      <c r="M482" s="36">
        <v>2</v>
      </c>
      <c r="N482" s="38">
        <f t="shared" si="1"/>
        <v>2.4691358024691357</v>
      </c>
      <c r="O482" s="36">
        <v>2</v>
      </c>
      <c r="P482" s="38">
        <f t="shared" si="2"/>
        <v>100</v>
      </c>
      <c r="Q482" s="88" t="s">
        <v>49</v>
      </c>
      <c r="R482" s="88" t="str">
        <f t="shared" si="3"/>
        <v>X</v>
      </c>
      <c r="S482" s="32"/>
      <c r="T482" s="34" t="str">
        <f>IF('PL1(Full)'!$N482&gt;=20,"x",IF(AND('PL1(Full)'!$N482&gt;=15,'PL1(Full)'!$P482&gt;60),"x",""))</f>
        <v/>
      </c>
      <c r="U482" s="34" t="str">
        <f>IF(AND('PL1(Full)'!$H482="Thôn",'PL1(Full)'!$I482&lt;75),"x",IF(AND('PL1(Full)'!$H482="Tổ",'PL1(Full)'!$I482&lt;100),"x","-"))</f>
        <v>-</v>
      </c>
      <c r="V482" s="34" t="str">
        <f>IF(AND('PL1(Full)'!$H482="Thôn",'PL1(Full)'!$I482&lt;140),"x",IF(AND('PL1(Full)'!$H482="Tổ",'PL1(Full)'!$I482&lt;210),"x","-"))</f>
        <v>x</v>
      </c>
      <c r="W482" s="40" t="str">
        <f t="shared" si="81"/>
        <v>Loại 3</v>
      </c>
      <c r="X482" s="34"/>
    </row>
    <row r="483" spans="1:24" ht="15.75" customHeight="1">
      <c r="A483" s="30">
        <f>_xlfn.AGGREGATE(4,7,A$6:A482)+1</f>
        <v>337</v>
      </c>
      <c r="B483" s="66" t="str">
        <f t="shared" si="80"/>
        <v>H. Chợ Đồn</v>
      </c>
      <c r="C483" s="31" t="str">
        <f t="shared" si="94"/>
        <v>X. Quảng Bạch</v>
      </c>
      <c r="D483" s="34"/>
      <c r="E483" s="34" t="s">
        <v>36</v>
      </c>
      <c r="F483" s="31" t="s">
        <v>567</v>
      </c>
      <c r="G483" s="34"/>
      <c r="H483" s="34" t="str">
        <f>IF(LEFT('PL1(Full)'!$F483,4)="Thôn","Thôn","Tổ")</f>
        <v>Thôn</v>
      </c>
      <c r="I483" s="36">
        <v>45</v>
      </c>
      <c r="J483" s="36">
        <v>213</v>
      </c>
      <c r="K483" s="36">
        <v>45</v>
      </c>
      <c r="L483" s="37">
        <f t="shared" si="0"/>
        <v>100</v>
      </c>
      <c r="M483" s="36">
        <v>7</v>
      </c>
      <c r="N483" s="38">
        <f t="shared" si="1"/>
        <v>15.555555555555555</v>
      </c>
      <c r="O483" s="36">
        <v>7</v>
      </c>
      <c r="P483" s="38">
        <f t="shared" si="2"/>
        <v>100</v>
      </c>
      <c r="Q483" s="88" t="s">
        <v>49</v>
      </c>
      <c r="R483" s="88" t="str">
        <f t="shared" si="3"/>
        <v>X</v>
      </c>
      <c r="S483" s="32" t="s">
        <v>60</v>
      </c>
      <c r="T483" s="34" t="str">
        <f>IF('PL1(Full)'!$N483&gt;=20,"x",IF(AND('PL1(Full)'!$N483&gt;=15,'PL1(Full)'!$P483&gt;60),"x",""))</f>
        <v>x</v>
      </c>
      <c r="U483" s="34" t="str">
        <f>IF(AND('PL1(Full)'!$H483="Thôn",'PL1(Full)'!$I483&lt;75),"x",IF(AND('PL1(Full)'!$H483="Tổ",'PL1(Full)'!$I483&lt;100),"x","-"))</f>
        <v>x</v>
      </c>
      <c r="V483" s="34" t="str">
        <f>IF(AND('PL1(Full)'!$H483="Thôn",'PL1(Full)'!$I483&lt;140),"x",IF(AND('PL1(Full)'!$H483="Tổ",'PL1(Full)'!$I483&lt;210),"x","-"))</f>
        <v>x</v>
      </c>
      <c r="W483" s="40" t="str">
        <f t="shared" si="81"/>
        <v>Loại 3</v>
      </c>
      <c r="X483" s="34"/>
    </row>
    <row r="484" spans="1:24" ht="15.75" customHeight="1">
      <c r="A484" s="41">
        <f>_xlfn.AGGREGATE(4,7,A$6:A483)+1</f>
        <v>338</v>
      </c>
      <c r="B484" s="67" t="str">
        <f t="shared" si="80"/>
        <v>H. Chợ Đồn</v>
      </c>
      <c r="C484" s="42" t="str">
        <f t="shared" si="94"/>
        <v>X. Quảng Bạch</v>
      </c>
      <c r="D484" s="50"/>
      <c r="E484" s="50" t="s">
        <v>36</v>
      </c>
      <c r="F484" s="42" t="s">
        <v>119</v>
      </c>
      <c r="G484" s="50"/>
      <c r="H484" s="50" t="str">
        <f>IF(LEFT('PL1(Full)'!$F484,4)="Thôn","Thôn","Tổ")</f>
        <v>Thôn</v>
      </c>
      <c r="I484" s="46">
        <v>46</v>
      </c>
      <c r="J484" s="46">
        <v>207</v>
      </c>
      <c r="K484" s="46">
        <v>46</v>
      </c>
      <c r="L484" s="47">
        <f t="shared" si="0"/>
        <v>100</v>
      </c>
      <c r="M484" s="46">
        <v>1</v>
      </c>
      <c r="N484" s="48">
        <f t="shared" si="1"/>
        <v>2.1739130434782608</v>
      </c>
      <c r="O484" s="46">
        <v>1</v>
      </c>
      <c r="P484" s="48">
        <f t="shared" si="2"/>
        <v>100</v>
      </c>
      <c r="Q484" s="89" t="s">
        <v>56</v>
      </c>
      <c r="R484" s="89" t="str">
        <f t="shared" si="3"/>
        <v>X</v>
      </c>
      <c r="S484" s="43"/>
      <c r="T484" s="50" t="str">
        <f>IF('PL1(Full)'!$N484&gt;=20,"x",IF(AND('PL1(Full)'!$N484&gt;=15,'PL1(Full)'!$P484&gt;60),"x",""))</f>
        <v/>
      </c>
      <c r="U484" s="50" t="str">
        <f>IF(AND('PL1(Full)'!$H484="Thôn",'PL1(Full)'!$I484&lt;75),"x",IF(AND('PL1(Full)'!$H484="Tổ",'PL1(Full)'!$I484&lt;100),"x","-"))</f>
        <v>x</v>
      </c>
      <c r="V484" s="34" t="str">
        <f>IF(AND('PL1(Full)'!$H484="Thôn",'PL1(Full)'!$I484&lt;140),"x",IF(AND('PL1(Full)'!$H484="Tổ",'PL1(Full)'!$I484&lt;210),"x","-"))</f>
        <v>x</v>
      </c>
      <c r="W484" s="51" t="str">
        <f t="shared" si="81"/>
        <v>Loại 3</v>
      </c>
      <c r="X484" s="50"/>
    </row>
    <row r="485" spans="1:24" ht="15.75" customHeight="1">
      <c r="A485" s="52">
        <f>_xlfn.AGGREGATE(4,7,A$6:A484)+1</f>
        <v>339</v>
      </c>
      <c r="B485" s="65" t="str">
        <f t="shared" si="80"/>
        <v>H. Chợ Đồn</v>
      </c>
      <c r="C485" s="14" t="s">
        <v>568</v>
      </c>
      <c r="D485" s="25" t="s">
        <v>58</v>
      </c>
      <c r="E485" s="25" t="s">
        <v>58</v>
      </c>
      <c r="F485" s="14" t="s">
        <v>457</v>
      </c>
      <c r="G485" s="25"/>
      <c r="H485" s="25" t="str">
        <f>IF(LEFT('PL1(Full)'!$F485,4)="Thôn","Thôn","Tổ")</f>
        <v>Thôn</v>
      </c>
      <c r="I485" s="20">
        <v>60</v>
      </c>
      <c r="J485" s="20">
        <v>265</v>
      </c>
      <c r="K485" s="20">
        <v>60</v>
      </c>
      <c r="L485" s="21">
        <f t="shared" si="0"/>
        <v>100</v>
      </c>
      <c r="M485" s="20">
        <v>3</v>
      </c>
      <c r="N485" s="22">
        <f t="shared" si="1"/>
        <v>5</v>
      </c>
      <c r="O485" s="20">
        <v>3</v>
      </c>
      <c r="P485" s="22">
        <f t="shared" si="2"/>
        <v>100</v>
      </c>
      <c r="Q485" s="87" t="s">
        <v>56</v>
      </c>
      <c r="R485" s="87" t="str">
        <f t="shared" si="3"/>
        <v>X</v>
      </c>
      <c r="S485" s="18" t="s">
        <v>60</v>
      </c>
      <c r="T485" s="26" t="str">
        <f>IF('PL1(Full)'!$N485&gt;=20,"x",IF(AND('PL1(Full)'!$N485&gt;=15,'PL1(Full)'!$P485&gt;60),"x",""))</f>
        <v/>
      </c>
      <c r="U485" s="27" t="str">
        <f>IF(AND('PL1(Full)'!$H485="Thôn",'PL1(Full)'!$I485&lt;75),"x",IF(AND('PL1(Full)'!$H485="Tổ",'PL1(Full)'!$I485&lt;100),"x","-"))</f>
        <v>x</v>
      </c>
      <c r="V485" s="28" t="str">
        <f>IF(AND('PL1(Full)'!$H485="Thôn",'PL1(Full)'!$I485&lt;140),"x",IF(AND('PL1(Full)'!$H485="Tổ",'PL1(Full)'!$I485&lt;210),"x","-"))</f>
        <v>x</v>
      </c>
      <c r="W485" s="29" t="str">
        <f t="shared" si="81"/>
        <v>Loại 3</v>
      </c>
      <c r="X485" s="25"/>
    </row>
    <row r="486" spans="1:24" ht="15.75" customHeight="1">
      <c r="A486" s="30">
        <f>_xlfn.AGGREGATE(4,7,A$6:A485)+1</f>
        <v>340</v>
      </c>
      <c r="B486" s="66" t="str">
        <f t="shared" si="80"/>
        <v>H. Chợ Đồn</v>
      </c>
      <c r="C486" s="31" t="str">
        <f t="shared" ref="C486:C492" si="95">C485</f>
        <v>X. Tân Lập</v>
      </c>
      <c r="D486" s="34"/>
      <c r="E486" s="34" t="s">
        <v>58</v>
      </c>
      <c r="F486" s="31" t="s">
        <v>569</v>
      </c>
      <c r="G486" s="34"/>
      <c r="H486" s="34" t="str">
        <f>IF(LEFT('PL1(Full)'!$F486,4)="Thôn","Thôn","Tổ")</f>
        <v>Thôn</v>
      </c>
      <c r="I486" s="36">
        <v>40</v>
      </c>
      <c r="J486" s="36">
        <v>182</v>
      </c>
      <c r="K486" s="36">
        <v>40</v>
      </c>
      <c r="L486" s="37">
        <f t="shared" si="0"/>
        <v>100</v>
      </c>
      <c r="M486" s="36">
        <v>1</v>
      </c>
      <c r="N486" s="38">
        <f t="shared" si="1"/>
        <v>2.5</v>
      </c>
      <c r="O486" s="36">
        <v>1</v>
      </c>
      <c r="P486" s="38">
        <f t="shared" si="2"/>
        <v>100</v>
      </c>
      <c r="Q486" s="88" t="s">
        <v>56</v>
      </c>
      <c r="R486" s="101" t="str">
        <f t="shared" si="3"/>
        <v>X</v>
      </c>
      <c r="S486" s="32"/>
      <c r="T486" s="34" t="str">
        <f>IF('PL1(Full)'!$N486&gt;=20,"x",IF(AND('PL1(Full)'!$N486&gt;=15,'PL1(Full)'!$P486&gt;60),"x",""))</f>
        <v/>
      </c>
      <c r="U486" s="34" t="str">
        <f>IF(AND('PL1(Full)'!$H486="Thôn",'PL1(Full)'!$I486&lt;75),"x",IF(AND('PL1(Full)'!$H486="Tổ",'PL1(Full)'!$I486&lt;100),"x","-"))</f>
        <v>x</v>
      </c>
      <c r="V486" s="34" t="str">
        <f>IF(AND('PL1(Full)'!$H486="Thôn",'PL1(Full)'!$I486&lt;140),"x",IF(AND('PL1(Full)'!$H486="Tổ",'PL1(Full)'!$I486&lt;210),"x","-"))</f>
        <v>x</v>
      </c>
      <c r="W486" s="40" t="str">
        <f t="shared" si="81"/>
        <v>Loại 3</v>
      </c>
      <c r="X486" s="34"/>
    </row>
    <row r="487" spans="1:24" ht="15.75" hidden="1" customHeight="1">
      <c r="A487" s="30">
        <f>_xlfn.AGGREGATE(4,7,A$6:A486)+1</f>
        <v>341</v>
      </c>
      <c r="B487" s="66" t="str">
        <f t="shared" si="80"/>
        <v>H. Chợ Đồn</v>
      </c>
      <c r="C487" s="31" t="str">
        <f t="shared" si="95"/>
        <v>X. Tân Lập</v>
      </c>
      <c r="D487" s="34"/>
      <c r="E487" s="34" t="s">
        <v>58</v>
      </c>
      <c r="F487" s="31" t="s">
        <v>570</v>
      </c>
      <c r="G487" s="34"/>
      <c r="H487" s="34" t="str">
        <f>IF(LEFT('PL1(Full)'!$F487,4)="Thôn","Thôn","Tổ")</f>
        <v>Thôn</v>
      </c>
      <c r="I487" s="36">
        <v>76</v>
      </c>
      <c r="J487" s="36">
        <v>369</v>
      </c>
      <c r="K487" s="36">
        <v>76</v>
      </c>
      <c r="L487" s="37">
        <f t="shared" si="0"/>
        <v>100</v>
      </c>
      <c r="M487" s="36">
        <v>22</v>
      </c>
      <c r="N487" s="38">
        <f t="shared" si="1"/>
        <v>28.94736842105263</v>
      </c>
      <c r="O487" s="36">
        <v>22</v>
      </c>
      <c r="P487" s="38">
        <f t="shared" si="2"/>
        <v>100</v>
      </c>
      <c r="Q487" s="88" t="s">
        <v>56</v>
      </c>
      <c r="R487" s="101" t="str">
        <f t="shared" si="3"/>
        <v>X</v>
      </c>
      <c r="S487" s="32" t="s">
        <v>60</v>
      </c>
      <c r="T487" s="34" t="str">
        <f>IF('PL1(Full)'!$N487&gt;=20,"x",IF(AND('PL1(Full)'!$N487&gt;=15,'PL1(Full)'!$P487&gt;60),"x",""))</f>
        <v>x</v>
      </c>
      <c r="U487" s="34" t="str">
        <f>IF(AND('PL1(Full)'!$H487="Thôn",'PL1(Full)'!$I487&lt;75),"x",IF(AND('PL1(Full)'!$H487="Tổ",'PL1(Full)'!$I487&lt;100),"x","-"))</f>
        <v>-</v>
      </c>
      <c r="V487" s="34" t="str">
        <f>IF(AND('PL1(Full)'!$H487="Thôn",'PL1(Full)'!$I487&lt;140),"x",IF(AND('PL1(Full)'!$H487="Tổ",'PL1(Full)'!$I487&lt;210),"x","-"))</f>
        <v>x</v>
      </c>
      <c r="W487" s="40" t="str">
        <f t="shared" si="81"/>
        <v>Loại 3</v>
      </c>
      <c r="X487" s="34"/>
    </row>
    <row r="488" spans="1:24" ht="15.75" customHeight="1">
      <c r="A488" s="30">
        <f>_xlfn.AGGREGATE(4,7,A$6:A487)+1</f>
        <v>341</v>
      </c>
      <c r="B488" s="66" t="str">
        <f t="shared" si="80"/>
        <v>H. Chợ Đồn</v>
      </c>
      <c r="C488" s="31" t="str">
        <f t="shared" si="95"/>
        <v>X. Tân Lập</v>
      </c>
      <c r="D488" s="34"/>
      <c r="E488" s="34" t="s">
        <v>58</v>
      </c>
      <c r="F488" s="31" t="s">
        <v>571</v>
      </c>
      <c r="G488" s="34"/>
      <c r="H488" s="34" t="str">
        <f>IF(LEFT('PL1(Full)'!$F488,4)="Thôn","Thôn","Tổ")</f>
        <v>Thôn</v>
      </c>
      <c r="I488" s="36">
        <v>37</v>
      </c>
      <c r="J488" s="36">
        <v>163</v>
      </c>
      <c r="K488" s="36">
        <v>37</v>
      </c>
      <c r="L488" s="37">
        <f t="shared" si="0"/>
        <v>100</v>
      </c>
      <c r="M488" s="36">
        <v>1</v>
      </c>
      <c r="N488" s="38">
        <f t="shared" si="1"/>
        <v>2.7027027027027026</v>
      </c>
      <c r="O488" s="36">
        <v>1</v>
      </c>
      <c r="P488" s="38">
        <f t="shared" si="2"/>
        <v>100</v>
      </c>
      <c r="Q488" s="88" t="s">
        <v>63</v>
      </c>
      <c r="R488" s="88" t="str">
        <f t="shared" si="3"/>
        <v>X</v>
      </c>
      <c r="S488" s="32"/>
      <c r="T488" s="34" t="str">
        <f>IF('PL1(Full)'!$N488&gt;=20,"x",IF(AND('PL1(Full)'!$N488&gt;=15,'PL1(Full)'!$P488&gt;60),"x",""))</f>
        <v/>
      </c>
      <c r="U488" s="34" t="str">
        <f>IF(AND('PL1(Full)'!$H488="Thôn",'PL1(Full)'!$I488&lt;75),"x",IF(AND('PL1(Full)'!$H488="Tổ",'PL1(Full)'!$I488&lt;100),"x","-"))</f>
        <v>x</v>
      </c>
      <c r="V488" s="34" t="str">
        <f>IF(AND('PL1(Full)'!$H488="Thôn",'PL1(Full)'!$I488&lt;140),"x",IF(AND('PL1(Full)'!$H488="Tổ",'PL1(Full)'!$I488&lt;210),"x","-"))</f>
        <v>x</v>
      </c>
      <c r="W488" s="40" t="str">
        <f t="shared" si="81"/>
        <v>Loại 3</v>
      </c>
      <c r="X488" s="34"/>
    </row>
    <row r="489" spans="1:24" ht="15.75" customHeight="1">
      <c r="A489" s="30">
        <f>_xlfn.AGGREGATE(4,7,A$6:A488)+1</f>
        <v>342</v>
      </c>
      <c r="B489" s="66" t="str">
        <f t="shared" si="80"/>
        <v>H. Chợ Đồn</v>
      </c>
      <c r="C489" s="31" t="str">
        <f t="shared" si="95"/>
        <v>X. Tân Lập</v>
      </c>
      <c r="D489" s="34"/>
      <c r="E489" s="34" t="s">
        <v>58</v>
      </c>
      <c r="F489" s="31" t="s">
        <v>572</v>
      </c>
      <c r="G489" s="34"/>
      <c r="H489" s="34" t="str">
        <f>IF(LEFT('PL1(Full)'!$F489,4)="Thôn","Thôn","Tổ")</f>
        <v>Thôn</v>
      </c>
      <c r="I489" s="36">
        <v>38</v>
      </c>
      <c r="J489" s="36">
        <v>172</v>
      </c>
      <c r="K489" s="36">
        <v>38</v>
      </c>
      <c r="L489" s="37">
        <f t="shared" si="0"/>
        <v>100</v>
      </c>
      <c r="M489" s="36">
        <v>0</v>
      </c>
      <c r="N489" s="38">
        <f t="shared" si="1"/>
        <v>0</v>
      </c>
      <c r="O489" s="36">
        <v>0</v>
      </c>
      <c r="P489" s="38">
        <f t="shared" si="2"/>
        <v>0</v>
      </c>
      <c r="Q489" s="88" t="s">
        <v>56</v>
      </c>
      <c r="R489" s="88" t="str">
        <f t="shared" si="3"/>
        <v>X</v>
      </c>
      <c r="S489" s="32"/>
      <c r="T489" s="34" t="str">
        <f>IF('PL1(Full)'!$N489&gt;=20,"x",IF(AND('PL1(Full)'!$N489&gt;=15,'PL1(Full)'!$P489&gt;60),"x",""))</f>
        <v/>
      </c>
      <c r="U489" s="34" t="str">
        <f>IF(AND('PL1(Full)'!$H489="Thôn",'PL1(Full)'!$I489&lt;75),"x",IF(AND('PL1(Full)'!$H489="Tổ",'PL1(Full)'!$I489&lt;100),"x","-"))</f>
        <v>x</v>
      </c>
      <c r="V489" s="34" t="str">
        <f>IF(AND('PL1(Full)'!$H489="Thôn",'PL1(Full)'!$I489&lt;140),"x",IF(AND('PL1(Full)'!$H489="Tổ",'PL1(Full)'!$I489&lt;210),"x","-"))</f>
        <v>x</v>
      </c>
      <c r="W489" s="40" t="str">
        <f t="shared" si="81"/>
        <v>Loại 3</v>
      </c>
      <c r="X489" s="34"/>
    </row>
    <row r="490" spans="1:24" ht="15.75" customHeight="1">
      <c r="A490" s="30">
        <f>_xlfn.AGGREGATE(4,7,A$6:A489)+1</f>
        <v>343</v>
      </c>
      <c r="B490" s="66" t="str">
        <f t="shared" si="80"/>
        <v>H. Chợ Đồn</v>
      </c>
      <c r="C490" s="31" t="str">
        <f t="shared" si="95"/>
        <v>X. Tân Lập</v>
      </c>
      <c r="D490" s="34"/>
      <c r="E490" s="34" t="s">
        <v>58</v>
      </c>
      <c r="F490" s="31" t="s">
        <v>573</v>
      </c>
      <c r="G490" s="34"/>
      <c r="H490" s="34" t="str">
        <f>IF(LEFT('PL1(Full)'!$F490,4)="Thôn","Thôn","Tổ")</f>
        <v>Thôn</v>
      </c>
      <c r="I490" s="36">
        <v>20</v>
      </c>
      <c r="J490" s="36">
        <v>109</v>
      </c>
      <c r="K490" s="36">
        <v>20</v>
      </c>
      <c r="L490" s="37">
        <f t="shared" si="0"/>
        <v>100</v>
      </c>
      <c r="M490" s="36">
        <v>6</v>
      </c>
      <c r="N490" s="38">
        <f t="shared" si="1"/>
        <v>30</v>
      </c>
      <c r="O490" s="36">
        <v>6</v>
      </c>
      <c r="P490" s="38">
        <f t="shared" si="2"/>
        <v>100</v>
      </c>
      <c r="Q490" s="88" t="s">
        <v>154</v>
      </c>
      <c r="R490" s="88" t="str">
        <f t="shared" si="3"/>
        <v>X</v>
      </c>
      <c r="S490" s="32" t="s">
        <v>60</v>
      </c>
      <c r="T490" s="34" t="str">
        <f>IF('PL1(Full)'!$N490&gt;=20,"x",IF(AND('PL1(Full)'!$N490&gt;=15,'PL1(Full)'!$P490&gt;60),"x",""))</f>
        <v>x</v>
      </c>
      <c r="U490" s="34" t="str">
        <f>IF(AND('PL1(Full)'!$H490="Thôn",'PL1(Full)'!$I490&lt;75),"x",IF(AND('PL1(Full)'!$H490="Tổ",'PL1(Full)'!$I490&lt;100),"x","-"))</f>
        <v>x</v>
      </c>
      <c r="V490" s="34" t="str">
        <f>IF(AND('PL1(Full)'!$H490="Thôn",'PL1(Full)'!$I490&lt;140),"x",IF(AND('PL1(Full)'!$H490="Tổ",'PL1(Full)'!$I490&lt;210),"x","-"))</f>
        <v>x</v>
      </c>
      <c r="W490" s="40" t="str">
        <f t="shared" si="81"/>
        <v>Loại 3</v>
      </c>
      <c r="X490" s="34"/>
    </row>
    <row r="491" spans="1:24" ht="15.75" customHeight="1">
      <c r="A491" s="30">
        <f>_xlfn.AGGREGATE(4,7,A$6:A490)+1</f>
        <v>344</v>
      </c>
      <c r="B491" s="66" t="str">
        <f t="shared" si="80"/>
        <v>H. Chợ Đồn</v>
      </c>
      <c r="C491" s="31" t="str">
        <f t="shared" si="95"/>
        <v>X. Tân Lập</v>
      </c>
      <c r="D491" s="34"/>
      <c r="E491" s="34" t="s">
        <v>58</v>
      </c>
      <c r="F491" s="31" t="s">
        <v>574</v>
      </c>
      <c r="G491" s="34"/>
      <c r="H491" s="34" t="str">
        <f>IF(LEFT('PL1(Full)'!$F491,4)="Thôn","Thôn","Tổ")</f>
        <v>Thôn</v>
      </c>
      <c r="I491" s="36">
        <v>36</v>
      </c>
      <c r="J491" s="36">
        <v>168</v>
      </c>
      <c r="K491" s="36">
        <v>36</v>
      </c>
      <c r="L491" s="37">
        <f t="shared" si="0"/>
        <v>100</v>
      </c>
      <c r="M491" s="36">
        <v>3</v>
      </c>
      <c r="N491" s="38">
        <f t="shared" si="1"/>
        <v>8.3333333333333339</v>
      </c>
      <c r="O491" s="36">
        <v>3</v>
      </c>
      <c r="P491" s="38">
        <f t="shared" si="2"/>
        <v>100</v>
      </c>
      <c r="Q491" s="88" t="s">
        <v>56</v>
      </c>
      <c r="R491" s="88" t="str">
        <f t="shared" si="3"/>
        <v>X</v>
      </c>
      <c r="S491" s="32"/>
      <c r="T491" s="34" t="str">
        <f>IF('PL1(Full)'!$N491&gt;=20,"x",IF(AND('PL1(Full)'!$N491&gt;=15,'PL1(Full)'!$P491&gt;60),"x",""))</f>
        <v/>
      </c>
      <c r="U491" s="34" t="str">
        <f>IF(AND('PL1(Full)'!$H491="Thôn",'PL1(Full)'!$I491&lt;75),"x",IF(AND('PL1(Full)'!$H491="Tổ",'PL1(Full)'!$I491&lt;100),"x","-"))</f>
        <v>x</v>
      </c>
      <c r="V491" s="34" t="str">
        <f>IF(AND('PL1(Full)'!$H491="Thôn",'PL1(Full)'!$I491&lt;140),"x",IF(AND('PL1(Full)'!$H491="Tổ",'PL1(Full)'!$I491&lt;210),"x","-"))</f>
        <v>x</v>
      </c>
      <c r="W491" s="40" t="str">
        <f t="shared" si="81"/>
        <v>Loại 3</v>
      </c>
      <c r="X491" s="34"/>
    </row>
    <row r="492" spans="1:24" ht="15.75" customHeight="1">
      <c r="A492" s="41">
        <f>_xlfn.AGGREGATE(4,7,A$6:A491)+1</f>
        <v>345</v>
      </c>
      <c r="B492" s="67" t="str">
        <f t="shared" si="80"/>
        <v>H. Chợ Đồn</v>
      </c>
      <c r="C492" s="42" t="str">
        <f t="shared" si="95"/>
        <v>X. Tân Lập</v>
      </c>
      <c r="D492" s="50"/>
      <c r="E492" s="50" t="s">
        <v>58</v>
      </c>
      <c r="F492" s="42" t="s">
        <v>575</v>
      </c>
      <c r="G492" s="50"/>
      <c r="H492" s="50" t="str">
        <f>IF(LEFT('PL1(Full)'!$F492,4)="Thôn","Thôn","Tổ")</f>
        <v>Thôn</v>
      </c>
      <c r="I492" s="46">
        <v>45</v>
      </c>
      <c r="J492" s="46">
        <v>258</v>
      </c>
      <c r="K492" s="46">
        <v>45</v>
      </c>
      <c r="L492" s="47">
        <f t="shared" si="0"/>
        <v>100</v>
      </c>
      <c r="M492" s="46">
        <v>40</v>
      </c>
      <c r="N492" s="48">
        <f t="shared" si="1"/>
        <v>88.888888888888886</v>
      </c>
      <c r="O492" s="46">
        <v>40</v>
      </c>
      <c r="P492" s="48">
        <f t="shared" si="2"/>
        <v>100</v>
      </c>
      <c r="Q492" s="89" t="s">
        <v>63</v>
      </c>
      <c r="R492" s="89" t="str">
        <f t="shared" si="3"/>
        <v>X</v>
      </c>
      <c r="S492" s="43" t="s">
        <v>60</v>
      </c>
      <c r="T492" s="50" t="str">
        <f>IF('PL1(Full)'!$N492&gt;=20,"x",IF(AND('PL1(Full)'!$N492&gt;=15,'PL1(Full)'!$P492&gt;60),"x",""))</f>
        <v>x</v>
      </c>
      <c r="U492" s="50" t="str">
        <f>IF(AND('PL1(Full)'!$H492="Thôn",'PL1(Full)'!$I492&lt;75),"x",IF(AND('PL1(Full)'!$H492="Tổ",'PL1(Full)'!$I492&lt;100),"x","-"))</f>
        <v>x</v>
      </c>
      <c r="V492" s="34" t="str">
        <f>IF(AND('PL1(Full)'!$H492="Thôn",'PL1(Full)'!$I492&lt;140),"x",IF(AND('PL1(Full)'!$H492="Tổ",'PL1(Full)'!$I492&lt;210),"x","-"))</f>
        <v>x</v>
      </c>
      <c r="W492" s="51" t="str">
        <f t="shared" si="81"/>
        <v>Loại 3</v>
      </c>
      <c r="X492" s="50"/>
    </row>
    <row r="493" spans="1:24" ht="15.75" customHeight="1">
      <c r="A493" s="52">
        <f>_xlfn.AGGREGATE(4,7,A$6:A492)+1</f>
        <v>346</v>
      </c>
      <c r="B493" s="65" t="str">
        <f t="shared" si="80"/>
        <v>H. Chợ Đồn</v>
      </c>
      <c r="C493" s="14" t="s">
        <v>576</v>
      </c>
      <c r="D493" s="15" t="s">
        <v>58</v>
      </c>
      <c r="E493" s="16" t="s">
        <v>58</v>
      </c>
      <c r="F493" s="65" t="s">
        <v>577</v>
      </c>
      <c r="G493" s="18"/>
      <c r="H493" s="18" t="str">
        <f>IF(LEFT('PL1(Full)'!$F493,4)="Thôn","Thôn","Tổ")</f>
        <v>Thôn</v>
      </c>
      <c r="I493" s="20">
        <v>58</v>
      </c>
      <c r="J493" s="20">
        <v>246</v>
      </c>
      <c r="K493" s="20">
        <v>58</v>
      </c>
      <c r="L493" s="21">
        <f t="shared" si="0"/>
        <v>100</v>
      </c>
      <c r="M493" s="20">
        <v>10</v>
      </c>
      <c r="N493" s="22">
        <f t="shared" si="1"/>
        <v>17.241379310344829</v>
      </c>
      <c r="O493" s="20">
        <v>10</v>
      </c>
      <c r="P493" s="22">
        <f t="shared" si="2"/>
        <v>100</v>
      </c>
      <c r="Q493" s="87" t="s">
        <v>56</v>
      </c>
      <c r="R493" s="87" t="str">
        <f t="shared" si="3"/>
        <v>X</v>
      </c>
      <c r="S493" s="18" t="s">
        <v>60</v>
      </c>
      <c r="T493" s="26" t="str">
        <f>IF('PL1(Full)'!$N493&gt;=20,"x",IF(AND('PL1(Full)'!$N493&gt;=15,'PL1(Full)'!$P493&gt;60),"x",""))</f>
        <v>x</v>
      </c>
      <c r="U493" s="27" t="str">
        <f>IF(AND('PL1(Full)'!$H493="Thôn",'PL1(Full)'!$I493&lt;75),"x",IF(AND('PL1(Full)'!$H493="Tổ",'PL1(Full)'!$I493&lt;100),"x","-"))</f>
        <v>x</v>
      </c>
      <c r="V493" s="28" t="str">
        <f>IF(AND('PL1(Full)'!$H493="Thôn",'PL1(Full)'!$I493&lt;140),"x",IF(AND('PL1(Full)'!$H493="Tổ",'PL1(Full)'!$I493&lt;210),"x","-"))</f>
        <v>x</v>
      </c>
      <c r="W493" s="29" t="str">
        <f t="shared" si="81"/>
        <v>Loại 3</v>
      </c>
      <c r="X493" s="25"/>
    </row>
    <row r="494" spans="1:24" ht="15.75" customHeight="1">
      <c r="A494" s="30">
        <f>_xlfn.AGGREGATE(4,7,A$6:A493)+1</f>
        <v>347</v>
      </c>
      <c r="B494" s="66" t="str">
        <f t="shared" si="80"/>
        <v>H. Chợ Đồn</v>
      </c>
      <c r="C494" s="31" t="str">
        <f t="shared" ref="C494:C506" si="96">C493</f>
        <v>X. Xuân Lạc</v>
      </c>
      <c r="D494" s="32"/>
      <c r="E494" s="32" t="s">
        <v>58</v>
      </c>
      <c r="F494" s="66" t="s">
        <v>578</v>
      </c>
      <c r="G494" s="32"/>
      <c r="H494" s="32" t="str">
        <f>IF(LEFT('PL1(Full)'!$F494,4)="Thôn","Thôn","Tổ")</f>
        <v>Thôn</v>
      </c>
      <c r="I494" s="36">
        <v>38</v>
      </c>
      <c r="J494" s="36">
        <v>143</v>
      </c>
      <c r="K494" s="36">
        <v>38</v>
      </c>
      <c r="L494" s="37">
        <f t="shared" si="0"/>
        <v>100</v>
      </c>
      <c r="M494" s="36">
        <v>6</v>
      </c>
      <c r="N494" s="38">
        <f t="shared" si="1"/>
        <v>15.789473684210526</v>
      </c>
      <c r="O494" s="36">
        <v>6</v>
      </c>
      <c r="P494" s="38">
        <f t="shared" si="2"/>
        <v>100</v>
      </c>
      <c r="Q494" s="88" t="s">
        <v>63</v>
      </c>
      <c r="R494" s="88" t="str">
        <f t="shared" si="3"/>
        <v>X</v>
      </c>
      <c r="S494" s="32" t="s">
        <v>60</v>
      </c>
      <c r="T494" s="34" t="str">
        <f>IF('PL1(Full)'!$N494&gt;=20,"x",IF(AND('PL1(Full)'!$N494&gt;=15,'PL1(Full)'!$P494&gt;60),"x",""))</f>
        <v>x</v>
      </c>
      <c r="U494" s="34" t="str">
        <f>IF(AND('PL1(Full)'!$H494="Thôn",'PL1(Full)'!$I494&lt;75),"x",IF(AND('PL1(Full)'!$H494="Tổ",'PL1(Full)'!$I494&lt;100),"x","-"))</f>
        <v>x</v>
      </c>
      <c r="V494" s="34" t="str">
        <f>IF(AND('PL1(Full)'!$H494="Thôn",'PL1(Full)'!$I494&lt;140),"x",IF(AND('PL1(Full)'!$H494="Tổ",'PL1(Full)'!$I494&lt;210),"x","-"))</f>
        <v>x</v>
      </c>
      <c r="W494" s="40" t="str">
        <f t="shared" si="81"/>
        <v>Loại 3</v>
      </c>
      <c r="X494" s="34"/>
    </row>
    <row r="495" spans="1:24" ht="15.75" customHeight="1">
      <c r="A495" s="30">
        <f>_xlfn.AGGREGATE(4,7,A$6:A494)+1</f>
        <v>348</v>
      </c>
      <c r="B495" s="66" t="str">
        <f t="shared" si="80"/>
        <v>H. Chợ Đồn</v>
      </c>
      <c r="C495" s="31" t="str">
        <f t="shared" si="96"/>
        <v>X. Xuân Lạc</v>
      </c>
      <c r="D495" s="32"/>
      <c r="E495" s="32" t="s">
        <v>58</v>
      </c>
      <c r="F495" s="66" t="s">
        <v>579</v>
      </c>
      <c r="G495" s="32"/>
      <c r="H495" s="32" t="str">
        <f>IF(LEFT('PL1(Full)'!$F495,4)="Thôn","Thôn","Tổ")</f>
        <v>Thôn</v>
      </c>
      <c r="I495" s="36">
        <v>39</v>
      </c>
      <c r="J495" s="36">
        <v>163</v>
      </c>
      <c r="K495" s="36">
        <v>39</v>
      </c>
      <c r="L495" s="37">
        <f t="shared" si="0"/>
        <v>100</v>
      </c>
      <c r="M495" s="36">
        <v>2</v>
      </c>
      <c r="N495" s="38">
        <f t="shared" si="1"/>
        <v>5.1282051282051286</v>
      </c>
      <c r="O495" s="36">
        <v>2</v>
      </c>
      <c r="P495" s="38">
        <f t="shared" si="2"/>
        <v>100</v>
      </c>
      <c r="Q495" s="88" t="s">
        <v>154</v>
      </c>
      <c r="R495" s="88" t="str">
        <f t="shared" si="3"/>
        <v>X</v>
      </c>
      <c r="S495" s="32"/>
      <c r="T495" s="34" t="str">
        <f>IF('PL1(Full)'!$N495&gt;=20,"x",IF(AND('PL1(Full)'!$N495&gt;=15,'PL1(Full)'!$P495&gt;60),"x",""))</f>
        <v/>
      </c>
      <c r="U495" s="34" t="str">
        <f>IF(AND('PL1(Full)'!$H495="Thôn",'PL1(Full)'!$I495&lt;75),"x",IF(AND('PL1(Full)'!$H495="Tổ",'PL1(Full)'!$I495&lt;100),"x","-"))</f>
        <v>x</v>
      </c>
      <c r="V495" s="34" t="str">
        <f>IF(AND('PL1(Full)'!$H495="Thôn",'PL1(Full)'!$I495&lt;140),"x",IF(AND('PL1(Full)'!$H495="Tổ",'PL1(Full)'!$I495&lt;210),"x","-"))</f>
        <v>x</v>
      </c>
      <c r="W495" s="40" t="str">
        <f t="shared" si="81"/>
        <v>Loại 3</v>
      </c>
      <c r="X495" s="34"/>
    </row>
    <row r="496" spans="1:24" ht="15.75" customHeight="1">
      <c r="A496" s="30">
        <f>_xlfn.AGGREGATE(4,7,A$6:A495)+1</f>
        <v>349</v>
      </c>
      <c r="B496" s="66" t="str">
        <f t="shared" si="80"/>
        <v>H. Chợ Đồn</v>
      </c>
      <c r="C496" s="31" t="str">
        <f t="shared" si="96"/>
        <v>X. Xuân Lạc</v>
      </c>
      <c r="D496" s="32"/>
      <c r="E496" s="32" t="s">
        <v>58</v>
      </c>
      <c r="F496" s="66" t="s">
        <v>580</v>
      </c>
      <c r="G496" s="32"/>
      <c r="H496" s="32" t="str">
        <f>IF(LEFT('PL1(Full)'!$F496,4)="Thôn","Thôn","Tổ")</f>
        <v>Thôn</v>
      </c>
      <c r="I496" s="36">
        <v>37</v>
      </c>
      <c r="J496" s="36">
        <v>147</v>
      </c>
      <c r="K496" s="36">
        <v>37</v>
      </c>
      <c r="L496" s="37">
        <f t="shared" si="0"/>
        <v>100</v>
      </c>
      <c r="M496" s="36">
        <v>5</v>
      </c>
      <c r="N496" s="38">
        <f t="shared" si="1"/>
        <v>13.513513513513514</v>
      </c>
      <c r="O496" s="36">
        <v>5</v>
      </c>
      <c r="P496" s="38">
        <f t="shared" si="2"/>
        <v>100</v>
      </c>
      <c r="Q496" s="88" t="s">
        <v>300</v>
      </c>
      <c r="R496" s="88" t="str">
        <f t="shared" si="3"/>
        <v>T</v>
      </c>
      <c r="S496" s="32" t="s">
        <v>60</v>
      </c>
      <c r="T496" s="34" t="str">
        <f>IF('PL1(Full)'!$N496&gt;=20,"x",IF(AND('PL1(Full)'!$N496&gt;=15,'PL1(Full)'!$P496&gt;60),"x",""))</f>
        <v/>
      </c>
      <c r="U496" s="34" t="str">
        <f>IF(AND('PL1(Full)'!$H496="Thôn",'PL1(Full)'!$I496&lt;75),"x",IF(AND('PL1(Full)'!$H496="Tổ",'PL1(Full)'!$I496&lt;100),"x","-"))</f>
        <v>x</v>
      </c>
      <c r="V496" s="34" t="str">
        <f>IF(AND('PL1(Full)'!$H496="Thôn",'PL1(Full)'!$I496&lt;140),"x",IF(AND('PL1(Full)'!$H496="Tổ",'PL1(Full)'!$I496&lt;210),"x","-"))</f>
        <v>x</v>
      </c>
      <c r="W496" s="40" t="str">
        <f t="shared" si="81"/>
        <v>Loại 3</v>
      </c>
      <c r="X496" s="34"/>
    </row>
    <row r="497" spans="1:24" ht="15.75" hidden="1" customHeight="1">
      <c r="A497" s="30">
        <f>_xlfn.AGGREGATE(4,7,A$6:A496)+1</f>
        <v>350</v>
      </c>
      <c r="B497" s="66" t="str">
        <f t="shared" si="80"/>
        <v>H. Chợ Đồn</v>
      </c>
      <c r="C497" s="31" t="str">
        <f t="shared" si="96"/>
        <v>X. Xuân Lạc</v>
      </c>
      <c r="D497" s="32"/>
      <c r="E497" s="32" t="s">
        <v>58</v>
      </c>
      <c r="F497" s="66" t="s">
        <v>581</v>
      </c>
      <c r="G497" s="32"/>
      <c r="H497" s="32" t="str">
        <f>IF(LEFT('PL1(Full)'!$F497,4)="Thôn","Thôn","Tổ")</f>
        <v>Thôn</v>
      </c>
      <c r="I497" s="36">
        <v>83</v>
      </c>
      <c r="J497" s="36">
        <v>372</v>
      </c>
      <c r="K497" s="36">
        <v>83</v>
      </c>
      <c r="L497" s="37">
        <f t="shared" si="0"/>
        <v>100</v>
      </c>
      <c r="M497" s="36">
        <v>6</v>
      </c>
      <c r="N497" s="38">
        <f t="shared" si="1"/>
        <v>7.2289156626506026</v>
      </c>
      <c r="O497" s="36">
        <v>6</v>
      </c>
      <c r="P497" s="38">
        <f t="shared" si="2"/>
        <v>100</v>
      </c>
      <c r="Q497" s="88" t="s">
        <v>56</v>
      </c>
      <c r="R497" s="88" t="str">
        <f t="shared" si="3"/>
        <v>X</v>
      </c>
      <c r="S497" s="32"/>
      <c r="T497" s="34" t="str">
        <f>IF('PL1(Full)'!$N497&gt;=20,"x",IF(AND('PL1(Full)'!$N497&gt;=15,'PL1(Full)'!$P497&gt;60),"x",""))</f>
        <v/>
      </c>
      <c r="U497" s="34" t="str">
        <f>IF(AND('PL1(Full)'!$H497="Thôn",'PL1(Full)'!$I497&lt;75),"x",IF(AND('PL1(Full)'!$H497="Tổ",'PL1(Full)'!$I497&lt;100),"x","-"))</f>
        <v>-</v>
      </c>
      <c r="V497" s="34" t="str">
        <f>IF(AND('PL1(Full)'!$H497="Thôn",'PL1(Full)'!$I497&lt;140),"x",IF(AND('PL1(Full)'!$H497="Tổ",'PL1(Full)'!$I497&lt;210),"x","-"))</f>
        <v>x</v>
      </c>
      <c r="W497" s="40" t="str">
        <f t="shared" si="81"/>
        <v>Loại 3</v>
      </c>
      <c r="X497" s="34"/>
    </row>
    <row r="498" spans="1:24" ht="15.75" customHeight="1">
      <c r="A498" s="30">
        <f>_xlfn.AGGREGATE(4,7,A$6:A497)+1</f>
        <v>350</v>
      </c>
      <c r="B498" s="66" t="str">
        <f t="shared" si="80"/>
        <v>H. Chợ Đồn</v>
      </c>
      <c r="C498" s="31" t="str">
        <f t="shared" si="96"/>
        <v>X. Xuân Lạc</v>
      </c>
      <c r="D498" s="32"/>
      <c r="E498" s="32" t="s">
        <v>58</v>
      </c>
      <c r="F498" s="66" t="s">
        <v>582</v>
      </c>
      <c r="G498" s="32"/>
      <c r="H498" s="32" t="str">
        <f>IF(LEFT('PL1(Full)'!$F498,4)="Thôn","Thôn","Tổ")</f>
        <v>Thôn</v>
      </c>
      <c r="I498" s="36">
        <v>29</v>
      </c>
      <c r="J498" s="36">
        <v>146</v>
      </c>
      <c r="K498" s="36">
        <v>29</v>
      </c>
      <c r="L498" s="37">
        <f t="shared" si="0"/>
        <v>100</v>
      </c>
      <c r="M498" s="36">
        <v>1</v>
      </c>
      <c r="N498" s="38">
        <f t="shared" si="1"/>
        <v>3.4482758620689653</v>
      </c>
      <c r="O498" s="36">
        <v>1</v>
      </c>
      <c r="P498" s="38">
        <f t="shared" si="2"/>
        <v>100</v>
      </c>
      <c r="Q498" s="88" t="s">
        <v>63</v>
      </c>
      <c r="R498" s="88" t="str">
        <f t="shared" si="3"/>
        <v>X</v>
      </c>
      <c r="S498" s="32"/>
      <c r="T498" s="34" t="str">
        <f>IF('PL1(Full)'!$N498&gt;=20,"x",IF(AND('PL1(Full)'!$N498&gt;=15,'PL1(Full)'!$P498&gt;60),"x",""))</f>
        <v/>
      </c>
      <c r="U498" s="34" t="str">
        <f>IF(AND('PL1(Full)'!$H498="Thôn",'PL1(Full)'!$I498&lt;75),"x",IF(AND('PL1(Full)'!$H498="Tổ",'PL1(Full)'!$I498&lt;100),"x","-"))</f>
        <v>x</v>
      </c>
      <c r="V498" s="34" t="str">
        <f>IF(AND('PL1(Full)'!$H498="Thôn",'PL1(Full)'!$I498&lt;140),"x",IF(AND('PL1(Full)'!$H498="Tổ",'PL1(Full)'!$I498&lt;210),"x","-"))</f>
        <v>x</v>
      </c>
      <c r="W498" s="40" t="str">
        <f t="shared" si="81"/>
        <v>Loại 3</v>
      </c>
      <c r="X498" s="34"/>
    </row>
    <row r="499" spans="1:24" ht="15.75" hidden="1" customHeight="1">
      <c r="A499" s="30">
        <f>_xlfn.AGGREGATE(4,7,A$6:A498)+1</f>
        <v>351</v>
      </c>
      <c r="B499" s="66" t="str">
        <f t="shared" si="80"/>
        <v>H. Chợ Đồn</v>
      </c>
      <c r="C499" s="31" t="str">
        <f t="shared" si="96"/>
        <v>X. Xuân Lạc</v>
      </c>
      <c r="D499" s="32"/>
      <c r="E499" s="32" t="s">
        <v>58</v>
      </c>
      <c r="F499" s="66" t="s">
        <v>583</v>
      </c>
      <c r="G499" s="32"/>
      <c r="H499" s="32" t="str">
        <f>IF(LEFT('PL1(Full)'!$F499,4)="Thôn","Thôn","Tổ")</f>
        <v>Thôn</v>
      </c>
      <c r="I499" s="36">
        <v>79</v>
      </c>
      <c r="J499" s="36">
        <v>353</v>
      </c>
      <c r="K499" s="36">
        <v>79</v>
      </c>
      <c r="L499" s="37">
        <f t="shared" si="0"/>
        <v>100</v>
      </c>
      <c r="M499" s="36">
        <v>15</v>
      </c>
      <c r="N499" s="38">
        <f t="shared" si="1"/>
        <v>18.9873417721519</v>
      </c>
      <c r="O499" s="36">
        <v>15</v>
      </c>
      <c r="P499" s="38">
        <f t="shared" si="2"/>
        <v>100</v>
      </c>
      <c r="Q499" s="88" t="s">
        <v>154</v>
      </c>
      <c r="R499" s="88" t="str">
        <f t="shared" si="3"/>
        <v>X</v>
      </c>
      <c r="S499" s="32"/>
      <c r="T499" s="34" t="str">
        <f>IF('PL1(Full)'!$N499&gt;=20,"x",IF(AND('PL1(Full)'!$N499&gt;=15,'PL1(Full)'!$P499&gt;60),"x",""))</f>
        <v>x</v>
      </c>
      <c r="U499" s="34" t="str">
        <f>IF(AND('PL1(Full)'!$H499="Thôn",'PL1(Full)'!$I499&lt;75),"x",IF(AND('PL1(Full)'!$H499="Tổ",'PL1(Full)'!$I499&lt;100),"x","-"))</f>
        <v>-</v>
      </c>
      <c r="V499" s="34" t="str">
        <f>IF(AND('PL1(Full)'!$H499="Thôn",'PL1(Full)'!$I499&lt;140),"x",IF(AND('PL1(Full)'!$H499="Tổ",'PL1(Full)'!$I499&lt;210),"x","-"))</f>
        <v>x</v>
      </c>
      <c r="W499" s="40" t="str">
        <f t="shared" si="81"/>
        <v>Loại 3</v>
      </c>
      <c r="X499" s="34"/>
    </row>
    <row r="500" spans="1:24" ht="15.75" hidden="1" customHeight="1">
      <c r="A500" s="30">
        <f>_xlfn.AGGREGATE(4,7,A$6:A499)+1</f>
        <v>351</v>
      </c>
      <c r="B500" s="66" t="str">
        <f t="shared" si="80"/>
        <v>H. Chợ Đồn</v>
      </c>
      <c r="C500" s="31" t="str">
        <f t="shared" si="96"/>
        <v>X. Xuân Lạc</v>
      </c>
      <c r="D500" s="32"/>
      <c r="E500" s="32" t="s">
        <v>58</v>
      </c>
      <c r="F500" s="66" t="s">
        <v>584</v>
      </c>
      <c r="G500" s="32"/>
      <c r="H500" s="32" t="str">
        <f>IF(LEFT('PL1(Full)'!$F500,4)="Thôn","Thôn","Tổ")</f>
        <v>Thôn</v>
      </c>
      <c r="I500" s="36">
        <v>92</v>
      </c>
      <c r="J500" s="36">
        <v>535</v>
      </c>
      <c r="K500" s="36">
        <v>92</v>
      </c>
      <c r="L500" s="37">
        <f t="shared" si="0"/>
        <v>100</v>
      </c>
      <c r="M500" s="36">
        <v>67</v>
      </c>
      <c r="N500" s="38">
        <f t="shared" si="1"/>
        <v>72.826086956521735</v>
      </c>
      <c r="O500" s="36">
        <v>67</v>
      </c>
      <c r="P500" s="38">
        <f t="shared" si="2"/>
        <v>100</v>
      </c>
      <c r="Q500" s="88" t="s">
        <v>56</v>
      </c>
      <c r="R500" s="88" t="str">
        <f t="shared" si="3"/>
        <v>X</v>
      </c>
      <c r="S500" s="32" t="s">
        <v>60</v>
      </c>
      <c r="T500" s="34" t="str">
        <f>IF('PL1(Full)'!$N500&gt;=20,"x",IF(AND('PL1(Full)'!$N500&gt;=15,'PL1(Full)'!$P500&gt;60),"x",""))</f>
        <v>x</v>
      </c>
      <c r="U500" s="34" t="str">
        <f>IF(AND('PL1(Full)'!$H500="Thôn",'PL1(Full)'!$I500&lt;75),"x",IF(AND('PL1(Full)'!$H500="Tổ",'PL1(Full)'!$I500&lt;100),"x","-"))</f>
        <v>-</v>
      </c>
      <c r="V500" s="34" t="str">
        <f>IF(AND('PL1(Full)'!$H500="Thôn",'PL1(Full)'!$I500&lt;140),"x",IF(AND('PL1(Full)'!$H500="Tổ",'PL1(Full)'!$I500&lt;210),"x","-"))</f>
        <v>x</v>
      </c>
      <c r="W500" s="40" t="str">
        <f t="shared" si="81"/>
        <v>Loại 3</v>
      </c>
      <c r="X500" s="34"/>
    </row>
    <row r="501" spans="1:24" ht="15.75" customHeight="1">
      <c r="A501" s="30">
        <f>_xlfn.AGGREGATE(4,7,A$6:A500)+1</f>
        <v>351</v>
      </c>
      <c r="B501" s="66" t="str">
        <f t="shared" si="80"/>
        <v>H. Chợ Đồn</v>
      </c>
      <c r="C501" s="31" t="str">
        <f t="shared" si="96"/>
        <v>X. Xuân Lạc</v>
      </c>
      <c r="D501" s="32"/>
      <c r="E501" s="32" t="s">
        <v>58</v>
      </c>
      <c r="F501" s="66" t="s">
        <v>585</v>
      </c>
      <c r="G501" s="32"/>
      <c r="H501" s="32" t="str">
        <f>IF(LEFT('PL1(Full)'!$F501,4)="Thôn","Thôn","Tổ")</f>
        <v>Thôn</v>
      </c>
      <c r="I501" s="36">
        <v>44</v>
      </c>
      <c r="J501" s="36">
        <v>254</v>
      </c>
      <c r="K501" s="36">
        <v>44</v>
      </c>
      <c r="L501" s="37">
        <f t="shared" si="0"/>
        <v>100</v>
      </c>
      <c r="M501" s="36">
        <v>30</v>
      </c>
      <c r="N501" s="38">
        <f t="shared" si="1"/>
        <v>68.181818181818187</v>
      </c>
      <c r="O501" s="36">
        <v>30</v>
      </c>
      <c r="P501" s="38">
        <f t="shared" si="2"/>
        <v>100</v>
      </c>
      <c r="Q501" s="88" t="s">
        <v>63</v>
      </c>
      <c r="R501" s="88" t="str">
        <f t="shared" si="3"/>
        <v>X</v>
      </c>
      <c r="S501" s="32" t="s">
        <v>60</v>
      </c>
      <c r="T501" s="34" t="str">
        <f>IF('PL1(Full)'!$N501&gt;=20,"x",IF(AND('PL1(Full)'!$N501&gt;=15,'PL1(Full)'!$P501&gt;60),"x",""))</f>
        <v>x</v>
      </c>
      <c r="U501" s="34" t="str">
        <f>IF(AND('PL1(Full)'!$H501="Thôn",'PL1(Full)'!$I501&lt;75),"x",IF(AND('PL1(Full)'!$H501="Tổ",'PL1(Full)'!$I501&lt;100),"x","-"))</f>
        <v>x</v>
      </c>
      <c r="V501" s="34" t="str">
        <f>IF(AND('PL1(Full)'!$H501="Thôn",'PL1(Full)'!$I501&lt;140),"x",IF(AND('PL1(Full)'!$H501="Tổ",'PL1(Full)'!$I501&lt;210),"x","-"))</f>
        <v>x</v>
      </c>
      <c r="W501" s="40" t="str">
        <f t="shared" si="81"/>
        <v>Loại 3</v>
      </c>
      <c r="X501" s="34"/>
    </row>
    <row r="502" spans="1:24" ht="15.75" hidden="1" customHeight="1">
      <c r="A502" s="30">
        <f>_xlfn.AGGREGATE(4,7,A$6:A501)+1</f>
        <v>352</v>
      </c>
      <c r="B502" s="66" t="str">
        <f t="shared" si="80"/>
        <v>H. Chợ Đồn</v>
      </c>
      <c r="C502" s="31" t="str">
        <f t="shared" si="96"/>
        <v>X. Xuân Lạc</v>
      </c>
      <c r="D502" s="32"/>
      <c r="E502" s="32" t="s">
        <v>58</v>
      </c>
      <c r="F502" s="66" t="s">
        <v>382</v>
      </c>
      <c r="G502" s="32"/>
      <c r="H502" s="32" t="str">
        <f>IF(LEFT('PL1(Full)'!$F502,4)="Thôn","Thôn","Tổ")</f>
        <v>Thôn</v>
      </c>
      <c r="I502" s="36">
        <v>77</v>
      </c>
      <c r="J502" s="36">
        <v>402</v>
      </c>
      <c r="K502" s="36">
        <v>77</v>
      </c>
      <c r="L502" s="37">
        <f t="shared" si="0"/>
        <v>100</v>
      </c>
      <c r="M502" s="36">
        <v>53</v>
      </c>
      <c r="N502" s="38">
        <f t="shared" si="1"/>
        <v>68.831168831168824</v>
      </c>
      <c r="O502" s="36">
        <v>53</v>
      </c>
      <c r="P502" s="38">
        <f t="shared" si="2"/>
        <v>100</v>
      </c>
      <c r="Q502" s="88" t="s">
        <v>63</v>
      </c>
      <c r="R502" s="88" t="str">
        <f t="shared" si="3"/>
        <v>X</v>
      </c>
      <c r="S502" s="32" t="s">
        <v>60</v>
      </c>
      <c r="T502" s="34" t="str">
        <f>IF('PL1(Full)'!$N502&gt;=20,"x",IF(AND('PL1(Full)'!$N502&gt;=15,'PL1(Full)'!$P502&gt;60),"x",""))</f>
        <v>x</v>
      </c>
      <c r="U502" s="34" t="str">
        <f>IF(AND('PL1(Full)'!$H502="Thôn",'PL1(Full)'!$I502&lt;75),"x",IF(AND('PL1(Full)'!$H502="Tổ",'PL1(Full)'!$I502&lt;100),"x","-"))</f>
        <v>-</v>
      </c>
      <c r="V502" s="34" t="str">
        <f>IF(AND('PL1(Full)'!$H502="Thôn",'PL1(Full)'!$I502&lt;140),"x",IF(AND('PL1(Full)'!$H502="Tổ",'PL1(Full)'!$I502&lt;210),"x","-"))</f>
        <v>x</v>
      </c>
      <c r="W502" s="40" t="str">
        <f t="shared" si="81"/>
        <v>Loại 3</v>
      </c>
      <c r="X502" s="34"/>
    </row>
    <row r="503" spans="1:24" ht="15.75" customHeight="1">
      <c r="A503" s="30">
        <f>_xlfn.AGGREGATE(4,7,A$6:A502)+1</f>
        <v>352</v>
      </c>
      <c r="B503" s="66" t="str">
        <f t="shared" si="80"/>
        <v>H. Chợ Đồn</v>
      </c>
      <c r="C503" s="31" t="str">
        <f t="shared" si="96"/>
        <v>X. Xuân Lạc</v>
      </c>
      <c r="D503" s="32"/>
      <c r="E503" s="32" t="s">
        <v>58</v>
      </c>
      <c r="F503" s="66" t="s">
        <v>586</v>
      </c>
      <c r="G503" s="32"/>
      <c r="H503" s="32" t="str">
        <f>IF(LEFT('PL1(Full)'!$F503,4)="Thôn","Thôn","Tổ")</f>
        <v>Thôn</v>
      </c>
      <c r="I503" s="36">
        <v>65</v>
      </c>
      <c r="J503" s="36">
        <v>297</v>
      </c>
      <c r="K503" s="36">
        <v>65</v>
      </c>
      <c r="L503" s="37">
        <f t="shared" si="0"/>
        <v>100</v>
      </c>
      <c r="M503" s="36">
        <v>22</v>
      </c>
      <c r="N503" s="38">
        <f t="shared" si="1"/>
        <v>33.846153846153847</v>
      </c>
      <c r="O503" s="36">
        <v>22</v>
      </c>
      <c r="P503" s="38">
        <f t="shared" si="2"/>
        <v>100</v>
      </c>
      <c r="Q503" s="88" t="s">
        <v>63</v>
      </c>
      <c r="R503" s="88" t="str">
        <f t="shared" si="3"/>
        <v>X</v>
      </c>
      <c r="S503" s="32" t="s">
        <v>60</v>
      </c>
      <c r="T503" s="34" t="str">
        <f>IF('PL1(Full)'!$N503&gt;=20,"x",IF(AND('PL1(Full)'!$N503&gt;=15,'PL1(Full)'!$P503&gt;60),"x",""))</f>
        <v>x</v>
      </c>
      <c r="U503" s="34" t="str">
        <f>IF(AND('PL1(Full)'!$H503="Thôn",'PL1(Full)'!$I503&lt;75),"x",IF(AND('PL1(Full)'!$H503="Tổ",'PL1(Full)'!$I503&lt;100),"x","-"))</f>
        <v>x</v>
      </c>
      <c r="V503" s="34" t="str">
        <f>IF(AND('PL1(Full)'!$H503="Thôn",'PL1(Full)'!$I503&lt;140),"x",IF(AND('PL1(Full)'!$H503="Tổ",'PL1(Full)'!$I503&lt;210),"x","-"))</f>
        <v>x</v>
      </c>
      <c r="W503" s="40" t="str">
        <f t="shared" si="81"/>
        <v>Loại 3</v>
      </c>
      <c r="X503" s="34"/>
    </row>
    <row r="504" spans="1:24" ht="15.75" customHeight="1">
      <c r="A504" s="30">
        <f>_xlfn.AGGREGATE(4,7,A$6:A503)+1</f>
        <v>353</v>
      </c>
      <c r="B504" s="66" t="str">
        <f t="shared" si="80"/>
        <v>H. Chợ Đồn</v>
      </c>
      <c r="C504" s="31" t="str">
        <f t="shared" si="96"/>
        <v>X. Xuân Lạc</v>
      </c>
      <c r="D504" s="32"/>
      <c r="E504" s="32" t="s">
        <v>58</v>
      </c>
      <c r="F504" s="66" t="s">
        <v>587</v>
      </c>
      <c r="G504" s="32"/>
      <c r="H504" s="32" t="str">
        <f>IF(LEFT('PL1(Full)'!$F504,4)="Thôn","Thôn","Tổ")</f>
        <v>Thôn</v>
      </c>
      <c r="I504" s="36">
        <v>58</v>
      </c>
      <c r="J504" s="36">
        <v>295</v>
      </c>
      <c r="K504" s="36">
        <v>58</v>
      </c>
      <c r="L504" s="37">
        <f t="shared" si="0"/>
        <v>100</v>
      </c>
      <c r="M504" s="36">
        <v>39</v>
      </c>
      <c r="N504" s="38">
        <f t="shared" si="1"/>
        <v>67.241379310344826</v>
      </c>
      <c r="O504" s="36">
        <v>39</v>
      </c>
      <c r="P504" s="38">
        <f t="shared" si="2"/>
        <v>100</v>
      </c>
      <c r="Q504" s="88" t="s">
        <v>63</v>
      </c>
      <c r="R504" s="88" t="str">
        <f t="shared" si="3"/>
        <v>X</v>
      </c>
      <c r="S504" s="32" t="s">
        <v>60</v>
      </c>
      <c r="T504" s="34" t="str">
        <f>IF('PL1(Full)'!$N504&gt;=20,"x",IF(AND('PL1(Full)'!$N504&gt;=15,'PL1(Full)'!$P504&gt;60),"x",""))</f>
        <v>x</v>
      </c>
      <c r="U504" s="34" t="str">
        <f>IF(AND('PL1(Full)'!$H504="Thôn",'PL1(Full)'!$I504&lt;75),"x",IF(AND('PL1(Full)'!$H504="Tổ",'PL1(Full)'!$I504&lt;100),"x","-"))</f>
        <v>x</v>
      </c>
      <c r="V504" s="34" t="str">
        <f>IF(AND('PL1(Full)'!$H504="Thôn",'PL1(Full)'!$I504&lt;140),"x",IF(AND('PL1(Full)'!$H504="Tổ",'PL1(Full)'!$I504&lt;210),"x","-"))</f>
        <v>x</v>
      </c>
      <c r="W504" s="40" t="str">
        <f t="shared" si="81"/>
        <v>Loại 3</v>
      </c>
      <c r="X504" s="34"/>
    </row>
    <row r="505" spans="1:24" ht="15.75" hidden="1" customHeight="1">
      <c r="A505" s="30">
        <f>_xlfn.AGGREGATE(4,7,A$6:A504)+1</f>
        <v>354</v>
      </c>
      <c r="B505" s="66" t="str">
        <f t="shared" si="80"/>
        <v>H. Chợ Đồn</v>
      </c>
      <c r="C505" s="31" t="str">
        <f t="shared" si="96"/>
        <v>X. Xuân Lạc</v>
      </c>
      <c r="D505" s="32"/>
      <c r="E505" s="32" t="s">
        <v>58</v>
      </c>
      <c r="F505" s="66" t="s">
        <v>588</v>
      </c>
      <c r="G505" s="32"/>
      <c r="H505" s="32" t="str">
        <f>IF(LEFT('PL1(Full)'!$F505,4)="Thôn","Thôn","Tổ")</f>
        <v>Thôn</v>
      </c>
      <c r="I505" s="36">
        <v>101</v>
      </c>
      <c r="J505" s="36">
        <v>553</v>
      </c>
      <c r="K505" s="36">
        <v>101</v>
      </c>
      <c r="L505" s="37">
        <f t="shared" si="0"/>
        <v>100</v>
      </c>
      <c r="M505" s="36">
        <v>92</v>
      </c>
      <c r="N505" s="38">
        <f t="shared" si="1"/>
        <v>91.089108910891085</v>
      </c>
      <c r="O505" s="36">
        <v>92</v>
      </c>
      <c r="P505" s="38">
        <f t="shared" si="2"/>
        <v>100</v>
      </c>
      <c r="Q505" s="88" t="s">
        <v>63</v>
      </c>
      <c r="R505" s="88" t="str">
        <f t="shared" si="3"/>
        <v>X</v>
      </c>
      <c r="S505" s="32" t="s">
        <v>60</v>
      </c>
      <c r="T505" s="34" t="str">
        <f>IF('PL1(Full)'!$N505&gt;=20,"x",IF(AND('PL1(Full)'!$N505&gt;=15,'PL1(Full)'!$P505&gt;60),"x",""))</f>
        <v>x</v>
      </c>
      <c r="U505" s="34" t="str">
        <f>IF(AND('PL1(Full)'!$H505="Thôn",'PL1(Full)'!$I505&lt;75),"x",IF(AND('PL1(Full)'!$H505="Tổ",'PL1(Full)'!$I505&lt;100),"x","-"))</f>
        <v>-</v>
      </c>
      <c r="V505" s="34" t="str">
        <f>IF(AND('PL1(Full)'!$H505="Thôn",'PL1(Full)'!$I505&lt;140),"x",IF(AND('PL1(Full)'!$H505="Tổ",'PL1(Full)'!$I505&lt;210),"x","-"))</f>
        <v>x</v>
      </c>
      <c r="W505" s="40" t="str">
        <f t="shared" si="81"/>
        <v>Loại 2</v>
      </c>
      <c r="X505" s="34"/>
    </row>
    <row r="506" spans="1:24" ht="15.75" hidden="1" customHeight="1">
      <c r="A506" s="41">
        <f>_xlfn.AGGREGATE(4,7,A$6:A505)+1</f>
        <v>354</v>
      </c>
      <c r="B506" s="67" t="str">
        <f t="shared" si="80"/>
        <v>H. Chợ Đồn</v>
      </c>
      <c r="C506" s="42" t="str">
        <f t="shared" si="96"/>
        <v>X. Xuân Lạc</v>
      </c>
      <c r="D506" s="43"/>
      <c r="E506" s="43" t="s">
        <v>58</v>
      </c>
      <c r="F506" s="67" t="s">
        <v>589</v>
      </c>
      <c r="G506" s="43"/>
      <c r="H506" s="43" t="str">
        <f>IF(LEFT('PL1(Full)'!$F506,4)="Thôn","Thôn","Tổ")</f>
        <v>Thôn</v>
      </c>
      <c r="I506" s="46">
        <v>114</v>
      </c>
      <c r="J506" s="46">
        <v>584</v>
      </c>
      <c r="K506" s="46">
        <v>114</v>
      </c>
      <c r="L506" s="47">
        <f t="shared" si="0"/>
        <v>100</v>
      </c>
      <c r="M506" s="46">
        <v>95</v>
      </c>
      <c r="N506" s="48">
        <f t="shared" si="1"/>
        <v>83.333333333333329</v>
      </c>
      <c r="O506" s="46">
        <v>95</v>
      </c>
      <c r="P506" s="48">
        <f t="shared" si="2"/>
        <v>100</v>
      </c>
      <c r="Q506" s="89" t="s">
        <v>56</v>
      </c>
      <c r="R506" s="89" t="str">
        <f t="shared" si="3"/>
        <v>X</v>
      </c>
      <c r="S506" s="43" t="s">
        <v>60</v>
      </c>
      <c r="T506" s="50" t="str">
        <f>IF('PL1(Full)'!$N506&gt;=20,"x",IF(AND('PL1(Full)'!$N506&gt;=15,'PL1(Full)'!$P506&gt;60),"x",""))</f>
        <v>x</v>
      </c>
      <c r="U506" s="50" t="str">
        <f>IF(AND('PL1(Full)'!$H506="Thôn",'PL1(Full)'!$I506&lt;75),"x",IF(AND('PL1(Full)'!$H506="Tổ",'PL1(Full)'!$I506&lt;100),"x","-"))</f>
        <v>-</v>
      </c>
      <c r="V506" s="34" t="str">
        <f>IF(AND('PL1(Full)'!$H506="Thôn",'PL1(Full)'!$I506&lt;140),"x",IF(AND('PL1(Full)'!$H506="Tổ",'PL1(Full)'!$I506&lt;210),"x","-"))</f>
        <v>x</v>
      </c>
      <c r="W506" s="51" t="str">
        <f t="shared" si="81"/>
        <v>Loại 2</v>
      </c>
      <c r="X506" s="50"/>
    </row>
    <row r="507" spans="1:24" ht="15.75" customHeight="1">
      <c r="A507" s="52">
        <f>_xlfn.AGGREGATE(4,7,A$6:A506)+1</f>
        <v>354</v>
      </c>
      <c r="B507" s="65" t="str">
        <f t="shared" si="80"/>
        <v>H. Chợ Đồn</v>
      </c>
      <c r="C507" s="14" t="s">
        <v>590</v>
      </c>
      <c r="D507" s="25" t="s">
        <v>58</v>
      </c>
      <c r="E507" s="25" t="s">
        <v>58</v>
      </c>
      <c r="F507" s="14" t="s">
        <v>591</v>
      </c>
      <c r="G507" s="25"/>
      <c r="H507" s="25" t="str">
        <f>IF(LEFT('PL1(Full)'!$F507,4)="Thôn","Thôn","Tổ")</f>
        <v>Thôn</v>
      </c>
      <c r="I507" s="20">
        <v>39</v>
      </c>
      <c r="J507" s="20">
        <v>176</v>
      </c>
      <c r="K507" s="20">
        <v>171</v>
      </c>
      <c r="L507" s="21">
        <f t="shared" si="0"/>
        <v>438.46153846153845</v>
      </c>
      <c r="M507" s="20">
        <v>4</v>
      </c>
      <c r="N507" s="22">
        <f t="shared" si="1"/>
        <v>10.256410256410257</v>
      </c>
      <c r="O507" s="20">
        <v>4</v>
      </c>
      <c r="P507" s="22">
        <f t="shared" si="2"/>
        <v>100</v>
      </c>
      <c r="Q507" s="87" t="s">
        <v>56</v>
      </c>
      <c r="R507" s="87" t="str">
        <f t="shared" si="3"/>
        <v>X</v>
      </c>
      <c r="S507" s="18" t="s">
        <v>60</v>
      </c>
      <c r="T507" s="26" t="str">
        <f>IF('PL1(Full)'!$N507&gt;=20,"x",IF(AND('PL1(Full)'!$N507&gt;=15,'PL1(Full)'!$P507&gt;60),"x",""))</f>
        <v/>
      </c>
      <c r="U507" s="27" t="str">
        <f>IF(AND('PL1(Full)'!$H507="Thôn",'PL1(Full)'!$I507&lt;75),"x",IF(AND('PL1(Full)'!$H507="Tổ",'PL1(Full)'!$I507&lt;100),"x","-"))</f>
        <v>x</v>
      </c>
      <c r="V507" s="28" t="str">
        <f>IF(AND('PL1(Full)'!$H507="Thôn",'PL1(Full)'!$I507&lt;140),"x",IF(AND('PL1(Full)'!$H507="Tổ",'PL1(Full)'!$I507&lt;210),"x","-"))</f>
        <v>x</v>
      </c>
      <c r="W507" s="29" t="str">
        <f t="shared" si="81"/>
        <v>Loại 3</v>
      </c>
      <c r="X507" s="25"/>
    </row>
    <row r="508" spans="1:24" ht="15.75" customHeight="1">
      <c r="A508" s="30">
        <f>_xlfn.AGGREGATE(4,7,A$6:A507)+1</f>
        <v>355</v>
      </c>
      <c r="B508" s="66" t="str">
        <f t="shared" si="80"/>
        <v>H. Chợ Đồn</v>
      </c>
      <c r="C508" s="33" t="str">
        <f t="shared" ref="C508:C514" si="97">C507</f>
        <v>X. Yên Mỹ</v>
      </c>
      <c r="D508" s="34"/>
      <c r="E508" s="34" t="s">
        <v>58</v>
      </c>
      <c r="F508" s="31" t="s">
        <v>592</v>
      </c>
      <c r="G508" s="34"/>
      <c r="H508" s="34" t="str">
        <f>IF(LEFT('PL1(Full)'!$F508,4)="Thôn","Thôn","Tổ")</f>
        <v>Thôn</v>
      </c>
      <c r="I508" s="36">
        <v>35</v>
      </c>
      <c r="J508" s="36">
        <v>150</v>
      </c>
      <c r="K508" s="36">
        <v>147</v>
      </c>
      <c r="L508" s="37">
        <f t="shared" si="0"/>
        <v>420</v>
      </c>
      <c r="M508" s="36">
        <v>7</v>
      </c>
      <c r="N508" s="38">
        <f t="shared" si="1"/>
        <v>20</v>
      </c>
      <c r="O508" s="36">
        <v>6</v>
      </c>
      <c r="P508" s="38">
        <f t="shared" si="2"/>
        <v>85.714285714285708</v>
      </c>
      <c r="Q508" s="88" t="s">
        <v>56</v>
      </c>
      <c r="R508" s="88" t="str">
        <f t="shared" si="3"/>
        <v>X</v>
      </c>
      <c r="S508" s="32" t="s">
        <v>60</v>
      </c>
      <c r="T508" s="34" t="str">
        <f>IF('PL1(Full)'!$N508&gt;=20,"x",IF(AND('PL1(Full)'!$N508&gt;=15,'PL1(Full)'!$P508&gt;60),"x",""))</f>
        <v>x</v>
      </c>
      <c r="U508" s="34" t="str">
        <f>IF(AND('PL1(Full)'!$H508="Thôn",'PL1(Full)'!$I508&lt;75),"x",IF(AND('PL1(Full)'!$H508="Tổ",'PL1(Full)'!$I508&lt;100),"x","-"))</f>
        <v>x</v>
      </c>
      <c r="V508" s="34" t="str">
        <f>IF(AND('PL1(Full)'!$H508="Thôn",'PL1(Full)'!$I508&lt;140),"x",IF(AND('PL1(Full)'!$H508="Tổ",'PL1(Full)'!$I508&lt;210),"x","-"))</f>
        <v>x</v>
      </c>
      <c r="W508" s="40" t="str">
        <f t="shared" si="81"/>
        <v>Loại 3</v>
      </c>
      <c r="X508" s="34"/>
    </row>
    <row r="509" spans="1:24" ht="15.75" customHeight="1">
      <c r="A509" s="30">
        <f>_xlfn.AGGREGATE(4,7,A$6:A508)+1</f>
        <v>356</v>
      </c>
      <c r="B509" s="66" t="str">
        <f t="shared" si="80"/>
        <v>H. Chợ Đồn</v>
      </c>
      <c r="C509" s="33" t="str">
        <f t="shared" si="97"/>
        <v>X. Yên Mỹ</v>
      </c>
      <c r="D509" s="34"/>
      <c r="E509" s="34" t="s">
        <v>58</v>
      </c>
      <c r="F509" s="31" t="s">
        <v>593</v>
      </c>
      <c r="G509" s="34"/>
      <c r="H509" s="34" t="str">
        <f>IF(LEFT('PL1(Full)'!$F509,4)="Thôn","Thôn","Tổ")</f>
        <v>Thôn</v>
      </c>
      <c r="I509" s="36">
        <v>25</v>
      </c>
      <c r="J509" s="36">
        <v>94</v>
      </c>
      <c r="K509" s="36">
        <v>94</v>
      </c>
      <c r="L509" s="37">
        <f t="shared" si="0"/>
        <v>376</v>
      </c>
      <c r="M509" s="36">
        <v>19</v>
      </c>
      <c r="N509" s="38">
        <f t="shared" si="1"/>
        <v>76</v>
      </c>
      <c r="O509" s="36">
        <v>19</v>
      </c>
      <c r="P509" s="38">
        <f t="shared" si="2"/>
        <v>100</v>
      </c>
      <c r="Q509" s="88" t="s">
        <v>56</v>
      </c>
      <c r="R509" s="88" t="str">
        <f t="shared" si="3"/>
        <v>X</v>
      </c>
      <c r="S509" s="32" t="s">
        <v>60</v>
      </c>
      <c r="T509" s="34" t="str">
        <f>IF('PL1(Full)'!$N509&gt;=20,"x",IF(AND('PL1(Full)'!$N509&gt;=15,'PL1(Full)'!$P509&gt;60),"x",""))</f>
        <v>x</v>
      </c>
      <c r="U509" s="34" t="str">
        <f>IF(AND('PL1(Full)'!$H509="Thôn",'PL1(Full)'!$I509&lt;75),"x",IF(AND('PL1(Full)'!$H509="Tổ",'PL1(Full)'!$I509&lt;100),"x","-"))</f>
        <v>x</v>
      </c>
      <c r="V509" s="34" t="str">
        <f>IF(AND('PL1(Full)'!$H509="Thôn",'PL1(Full)'!$I509&lt;140),"x",IF(AND('PL1(Full)'!$H509="Tổ",'PL1(Full)'!$I509&lt;210),"x","-"))</f>
        <v>x</v>
      </c>
      <c r="W509" s="40" t="str">
        <f t="shared" si="81"/>
        <v>Loại 3</v>
      </c>
      <c r="X509" s="34"/>
    </row>
    <row r="510" spans="1:24" ht="15.75" customHeight="1">
      <c r="A510" s="30">
        <f>_xlfn.AGGREGATE(4,7,A$6:A509)+1</f>
        <v>357</v>
      </c>
      <c r="B510" s="66" t="str">
        <f t="shared" si="80"/>
        <v>H. Chợ Đồn</v>
      </c>
      <c r="C510" s="33" t="str">
        <f t="shared" si="97"/>
        <v>X. Yên Mỹ</v>
      </c>
      <c r="D510" s="34"/>
      <c r="E510" s="34" t="s">
        <v>58</v>
      </c>
      <c r="F510" s="31" t="s">
        <v>594</v>
      </c>
      <c r="G510" s="34"/>
      <c r="H510" s="34" t="str">
        <f>IF(LEFT('PL1(Full)'!$F510,4)="Thôn","Thôn","Tổ")</f>
        <v>Thôn</v>
      </c>
      <c r="I510" s="36">
        <v>48</v>
      </c>
      <c r="J510" s="36">
        <v>193</v>
      </c>
      <c r="K510" s="36">
        <v>190</v>
      </c>
      <c r="L510" s="37">
        <f t="shared" si="0"/>
        <v>395.83333333333331</v>
      </c>
      <c r="M510" s="36">
        <v>5</v>
      </c>
      <c r="N510" s="38">
        <f t="shared" si="1"/>
        <v>10.416666666666666</v>
      </c>
      <c r="O510" s="36">
        <v>5</v>
      </c>
      <c r="P510" s="38">
        <f t="shared" si="2"/>
        <v>100</v>
      </c>
      <c r="Q510" s="88" t="s">
        <v>56</v>
      </c>
      <c r="R510" s="88" t="str">
        <f t="shared" si="3"/>
        <v>X</v>
      </c>
      <c r="S510" s="32" t="s">
        <v>60</v>
      </c>
      <c r="T510" s="34" t="str">
        <f>IF('PL1(Full)'!$N510&gt;=20,"x",IF(AND('PL1(Full)'!$N510&gt;=15,'PL1(Full)'!$P510&gt;60),"x",""))</f>
        <v/>
      </c>
      <c r="U510" s="34" t="str">
        <f>IF(AND('PL1(Full)'!$H510="Thôn",'PL1(Full)'!$I510&lt;75),"x",IF(AND('PL1(Full)'!$H510="Tổ",'PL1(Full)'!$I510&lt;100),"x","-"))</f>
        <v>x</v>
      </c>
      <c r="V510" s="34" t="str">
        <f>IF(AND('PL1(Full)'!$H510="Thôn",'PL1(Full)'!$I510&lt;140),"x",IF(AND('PL1(Full)'!$H510="Tổ",'PL1(Full)'!$I510&lt;210),"x","-"))</f>
        <v>x</v>
      </c>
      <c r="W510" s="40" t="str">
        <f t="shared" si="81"/>
        <v>Loại 3</v>
      </c>
      <c r="X510" s="34"/>
    </row>
    <row r="511" spans="1:24" ht="15.75" hidden="1" customHeight="1">
      <c r="A511" s="30">
        <f>_xlfn.AGGREGATE(4,7,A$6:A510)+1</f>
        <v>358</v>
      </c>
      <c r="B511" s="66" t="str">
        <f t="shared" si="80"/>
        <v>H. Chợ Đồn</v>
      </c>
      <c r="C511" s="33" t="str">
        <f t="shared" si="97"/>
        <v>X. Yên Mỹ</v>
      </c>
      <c r="D511" s="34"/>
      <c r="E511" s="34" t="s">
        <v>58</v>
      </c>
      <c r="F511" s="31" t="s">
        <v>362</v>
      </c>
      <c r="G511" s="34"/>
      <c r="H511" s="34" t="str">
        <f>IF(LEFT('PL1(Full)'!$F511,4)="Thôn","Thôn","Tổ")</f>
        <v>Thôn</v>
      </c>
      <c r="I511" s="36">
        <v>84</v>
      </c>
      <c r="J511" s="36">
        <v>342</v>
      </c>
      <c r="K511" s="36">
        <v>307</v>
      </c>
      <c r="L511" s="37">
        <f t="shared" si="0"/>
        <v>365.47619047619048</v>
      </c>
      <c r="M511" s="36">
        <v>17</v>
      </c>
      <c r="N511" s="38">
        <f t="shared" si="1"/>
        <v>20.238095238095237</v>
      </c>
      <c r="O511" s="36">
        <v>12</v>
      </c>
      <c r="P511" s="38">
        <f t="shared" si="2"/>
        <v>70.588235294117652</v>
      </c>
      <c r="Q511" s="88" t="s">
        <v>52</v>
      </c>
      <c r="R511" s="88" t="str">
        <f t="shared" si="3"/>
        <v>C</v>
      </c>
      <c r="S511" s="32" t="s">
        <v>60</v>
      </c>
      <c r="T511" s="34" t="str">
        <f>IF('PL1(Full)'!$N511&gt;=20,"x",IF(AND('PL1(Full)'!$N511&gt;=15,'PL1(Full)'!$P511&gt;60),"x",""))</f>
        <v>x</v>
      </c>
      <c r="U511" s="34" t="str">
        <f>IF(AND('PL1(Full)'!$H511="Thôn",'PL1(Full)'!$I511&lt;75),"x",IF(AND('PL1(Full)'!$H511="Tổ",'PL1(Full)'!$I511&lt;100),"x","-"))</f>
        <v>-</v>
      </c>
      <c r="V511" s="34" t="str">
        <f>IF(AND('PL1(Full)'!$H511="Thôn",'PL1(Full)'!$I511&lt;140),"x",IF(AND('PL1(Full)'!$H511="Tổ",'PL1(Full)'!$I511&lt;210),"x","-"))</f>
        <v>x</v>
      </c>
      <c r="W511" s="40" t="str">
        <f t="shared" si="81"/>
        <v>Loại 3</v>
      </c>
      <c r="X511" s="34"/>
    </row>
    <row r="512" spans="1:24" ht="15.75" customHeight="1">
      <c r="A512" s="30">
        <f>_xlfn.AGGREGATE(4,7,A$6:A511)+1</f>
        <v>358</v>
      </c>
      <c r="B512" s="66" t="str">
        <f t="shared" si="80"/>
        <v>H. Chợ Đồn</v>
      </c>
      <c r="C512" s="33" t="str">
        <f t="shared" si="97"/>
        <v>X. Yên Mỹ</v>
      </c>
      <c r="D512" s="34"/>
      <c r="E512" s="34" t="s">
        <v>58</v>
      </c>
      <c r="F512" s="31" t="s">
        <v>595</v>
      </c>
      <c r="G512" s="34"/>
      <c r="H512" s="34" t="str">
        <f>IF(LEFT('PL1(Full)'!$F512,4)="Thôn","Thôn","Tổ")</f>
        <v>Thôn</v>
      </c>
      <c r="I512" s="36">
        <v>36</v>
      </c>
      <c r="J512" s="36">
        <v>145</v>
      </c>
      <c r="K512" s="36">
        <v>145</v>
      </c>
      <c r="L512" s="37">
        <f t="shared" si="0"/>
        <v>402.77777777777777</v>
      </c>
      <c r="M512" s="36">
        <v>6</v>
      </c>
      <c r="N512" s="38">
        <f t="shared" si="1"/>
        <v>16.666666666666668</v>
      </c>
      <c r="O512" s="36">
        <v>6</v>
      </c>
      <c r="P512" s="38">
        <f t="shared" si="2"/>
        <v>100</v>
      </c>
      <c r="Q512" s="88" t="s">
        <v>52</v>
      </c>
      <c r="R512" s="88" t="str">
        <f t="shared" si="3"/>
        <v>C</v>
      </c>
      <c r="S512" s="32" t="s">
        <v>60</v>
      </c>
      <c r="T512" s="34" t="str">
        <f>IF('PL1(Full)'!$N512&gt;=20,"x",IF(AND('PL1(Full)'!$N512&gt;=15,'PL1(Full)'!$P512&gt;60),"x",""))</f>
        <v>x</v>
      </c>
      <c r="U512" s="34" t="str">
        <f>IF(AND('PL1(Full)'!$H512="Thôn",'PL1(Full)'!$I512&lt;75),"x",IF(AND('PL1(Full)'!$H512="Tổ",'PL1(Full)'!$I512&lt;100),"x","-"))</f>
        <v>x</v>
      </c>
      <c r="V512" s="34" t="str">
        <f>IF(AND('PL1(Full)'!$H512="Thôn",'PL1(Full)'!$I512&lt;140),"x",IF(AND('PL1(Full)'!$H512="Tổ",'PL1(Full)'!$I512&lt;210),"x","-"))</f>
        <v>x</v>
      </c>
      <c r="W512" s="40" t="str">
        <f t="shared" si="81"/>
        <v>Loại 3</v>
      </c>
      <c r="X512" s="34"/>
    </row>
    <row r="513" spans="1:24" ht="15.75" customHeight="1">
      <c r="A513" s="30">
        <f>_xlfn.AGGREGATE(4,7,A$6:A512)+1</f>
        <v>359</v>
      </c>
      <c r="B513" s="66" t="str">
        <f t="shared" si="80"/>
        <v>H. Chợ Đồn</v>
      </c>
      <c r="C513" s="33" t="str">
        <f t="shared" si="97"/>
        <v>X. Yên Mỹ</v>
      </c>
      <c r="D513" s="34"/>
      <c r="E513" s="34" t="s">
        <v>58</v>
      </c>
      <c r="F513" s="31" t="s">
        <v>596</v>
      </c>
      <c r="G513" s="34"/>
      <c r="H513" s="34" t="str">
        <f>IF(LEFT('PL1(Full)'!$F513,4)="Thôn","Thôn","Tổ")</f>
        <v>Thôn</v>
      </c>
      <c r="I513" s="36">
        <v>62</v>
      </c>
      <c r="J513" s="36">
        <v>246</v>
      </c>
      <c r="K513" s="36">
        <v>245</v>
      </c>
      <c r="L513" s="37">
        <f t="shared" si="0"/>
        <v>395.16129032258067</v>
      </c>
      <c r="M513" s="36">
        <v>23</v>
      </c>
      <c r="N513" s="38">
        <f t="shared" si="1"/>
        <v>37.096774193548384</v>
      </c>
      <c r="O513" s="36">
        <v>23</v>
      </c>
      <c r="P513" s="38">
        <f t="shared" si="2"/>
        <v>100</v>
      </c>
      <c r="Q513" s="88" t="s">
        <v>49</v>
      </c>
      <c r="R513" s="88" t="str">
        <f t="shared" si="3"/>
        <v>X</v>
      </c>
      <c r="S513" s="32" t="s">
        <v>60</v>
      </c>
      <c r="T513" s="34" t="str">
        <f>IF('PL1(Full)'!$N513&gt;=20,"x",IF(AND('PL1(Full)'!$N513&gt;=15,'PL1(Full)'!$P513&gt;60),"x",""))</f>
        <v>x</v>
      </c>
      <c r="U513" s="34" t="str">
        <f>IF(AND('PL1(Full)'!$H513="Thôn",'PL1(Full)'!$I513&lt;75),"x",IF(AND('PL1(Full)'!$H513="Tổ",'PL1(Full)'!$I513&lt;100),"x","-"))</f>
        <v>x</v>
      </c>
      <c r="V513" s="34" t="str">
        <f>IF(AND('PL1(Full)'!$H513="Thôn",'PL1(Full)'!$I513&lt;140),"x",IF(AND('PL1(Full)'!$H513="Tổ",'PL1(Full)'!$I513&lt;210),"x","-"))</f>
        <v>x</v>
      </c>
      <c r="W513" s="40" t="str">
        <f t="shared" si="81"/>
        <v>Loại 3</v>
      </c>
      <c r="X513" s="34"/>
    </row>
    <row r="514" spans="1:24" ht="15.75" hidden="1" customHeight="1">
      <c r="A514" s="41">
        <f>_xlfn.AGGREGATE(4,7,A$6:A513)+1</f>
        <v>360</v>
      </c>
      <c r="B514" s="67" t="str">
        <f t="shared" si="80"/>
        <v>H. Chợ Đồn</v>
      </c>
      <c r="C514" s="44" t="str">
        <f t="shared" si="97"/>
        <v>X. Yên Mỹ</v>
      </c>
      <c r="D514" s="50"/>
      <c r="E514" s="50" t="s">
        <v>58</v>
      </c>
      <c r="F514" s="42" t="s">
        <v>597</v>
      </c>
      <c r="G514" s="50"/>
      <c r="H514" s="50" t="str">
        <f>IF(LEFT('PL1(Full)'!$F514,4)="Thôn","Thôn","Tổ")</f>
        <v>Thôn</v>
      </c>
      <c r="I514" s="46">
        <v>77</v>
      </c>
      <c r="J514" s="46">
        <v>316</v>
      </c>
      <c r="K514" s="46">
        <v>312</v>
      </c>
      <c r="L514" s="47">
        <f t="shared" si="0"/>
        <v>405.19480519480521</v>
      </c>
      <c r="M514" s="46">
        <v>3</v>
      </c>
      <c r="N514" s="48">
        <f t="shared" si="1"/>
        <v>3.8961038961038961</v>
      </c>
      <c r="O514" s="46">
        <v>3</v>
      </c>
      <c r="P514" s="48">
        <f t="shared" si="2"/>
        <v>100</v>
      </c>
      <c r="Q514" s="89" t="s">
        <v>49</v>
      </c>
      <c r="R514" s="89" t="str">
        <f t="shared" si="3"/>
        <v>X</v>
      </c>
      <c r="S514" s="43"/>
      <c r="T514" s="50" t="str">
        <f>IF('PL1(Full)'!$N514&gt;=20,"x",IF(AND('PL1(Full)'!$N514&gt;=15,'PL1(Full)'!$P514&gt;60),"x",""))</f>
        <v/>
      </c>
      <c r="U514" s="50" t="str">
        <f>IF(AND('PL1(Full)'!$H514="Thôn",'PL1(Full)'!$I514&lt;75),"x",IF(AND('PL1(Full)'!$H514="Tổ",'PL1(Full)'!$I514&lt;100),"x","-"))</f>
        <v>-</v>
      </c>
      <c r="V514" s="34" t="str">
        <f>IF(AND('PL1(Full)'!$H514="Thôn",'PL1(Full)'!$I514&lt;140),"x",IF(AND('PL1(Full)'!$H514="Tổ",'PL1(Full)'!$I514&lt;210),"x","-"))</f>
        <v>x</v>
      </c>
      <c r="W514" s="51" t="str">
        <f t="shared" si="81"/>
        <v>Loại 3</v>
      </c>
      <c r="X514" s="50"/>
    </row>
    <row r="515" spans="1:24" ht="15.75" customHeight="1">
      <c r="A515" s="52">
        <f>_xlfn.AGGREGATE(4,7,A$6:A514)+1</f>
        <v>360</v>
      </c>
      <c r="B515" s="65" t="str">
        <f t="shared" si="80"/>
        <v>H. Chợ Đồn</v>
      </c>
      <c r="C515" s="14" t="s">
        <v>598</v>
      </c>
      <c r="D515" s="25" t="s">
        <v>58</v>
      </c>
      <c r="E515" s="25" t="s">
        <v>58</v>
      </c>
      <c r="F515" s="14" t="s">
        <v>555</v>
      </c>
      <c r="G515" s="25"/>
      <c r="H515" s="25" t="str">
        <f>IF(LEFT('PL1(Full)'!$F515,4)="Thôn","Thôn","Tổ")</f>
        <v>Thôn</v>
      </c>
      <c r="I515" s="20">
        <v>51</v>
      </c>
      <c r="J515" s="20">
        <v>213</v>
      </c>
      <c r="K515" s="20">
        <v>49</v>
      </c>
      <c r="L515" s="21">
        <f t="shared" si="0"/>
        <v>96.078431372549019</v>
      </c>
      <c r="M515" s="20">
        <v>2</v>
      </c>
      <c r="N515" s="22">
        <f t="shared" si="1"/>
        <v>3.9215686274509802</v>
      </c>
      <c r="O515" s="20">
        <v>2</v>
      </c>
      <c r="P515" s="22">
        <f t="shared" si="2"/>
        <v>100</v>
      </c>
      <c r="Q515" s="87" t="s">
        <v>43</v>
      </c>
      <c r="R515" s="87" t="str">
        <f t="shared" si="3"/>
        <v>X</v>
      </c>
      <c r="S515" s="18"/>
      <c r="T515" s="26" t="str">
        <f>IF('PL1(Full)'!$N515&gt;=20,"x",IF(AND('PL1(Full)'!$N515&gt;=15,'PL1(Full)'!$P515&gt;60),"x",""))</f>
        <v/>
      </c>
      <c r="U515" s="27" t="str">
        <f>IF(AND('PL1(Full)'!$H515="Thôn",'PL1(Full)'!$I515&lt;75),"x",IF(AND('PL1(Full)'!$H515="Tổ",'PL1(Full)'!$I515&lt;100),"x","-"))</f>
        <v>x</v>
      </c>
      <c r="V515" s="28" t="str">
        <f>IF(AND('PL1(Full)'!$H515="Thôn",'PL1(Full)'!$I515&lt;140),"x",IF(AND('PL1(Full)'!$H515="Tổ",'PL1(Full)'!$I515&lt;210),"x","-"))</f>
        <v>x</v>
      </c>
      <c r="W515" s="29" t="str">
        <f t="shared" si="81"/>
        <v>Loại 3</v>
      </c>
      <c r="X515" s="25"/>
    </row>
    <row r="516" spans="1:24" ht="15.75" customHeight="1">
      <c r="A516" s="30">
        <f>_xlfn.AGGREGATE(4,7,A$6:A515)+1</f>
        <v>361</v>
      </c>
      <c r="B516" s="66" t="str">
        <f t="shared" si="80"/>
        <v>H. Chợ Đồn</v>
      </c>
      <c r="C516" s="31" t="str">
        <f t="shared" ref="C516:C531" si="98">C515</f>
        <v>X. Yên Phong</v>
      </c>
      <c r="D516" s="34"/>
      <c r="E516" s="34" t="s">
        <v>58</v>
      </c>
      <c r="F516" s="31" t="s">
        <v>599</v>
      </c>
      <c r="G516" s="34"/>
      <c r="H516" s="34" t="str">
        <f>IF(LEFT('PL1(Full)'!$F516,4)="Thôn","Thôn","Tổ")</f>
        <v>Thôn</v>
      </c>
      <c r="I516" s="36">
        <v>28</v>
      </c>
      <c r="J516" s="36">
        <v>116</v>
      </c>
      <c r="K516" s="36">
        <v>27</v>
      </c>
      <c r="L516" s="37">
        <f t="shared" si="0"/>
        <v>96.428571428571431</v>
      </c>
      <c r="M516" s="36">
        <v>4</v>
      </c>
      <c r="N516" s="38">
        <f t="shared" si="1"/>
        <v>14.285714285714286</v>
      </c>
      <c r="O516" s="36">
        <v>4</v>
      </c>
      <c r="P516" s="38">
        <f t="shared" si="2"/>
        <v>100</v>
      </c>
      <c r="Q516" s="88" t="s">
        <v>600</v>
      </c>
      <c r="R516" s="88" t="str">
        <f t="shared" si="3"/>
        <v>X</v>
      </c>
      <c r="S516" s="32"/>
      <c r="T516" s="34" t="str">
        <f>IF('PL1(Full)'!$N516&gt;=20,"x",IF(AND('PL1(Full)'!$N516&gt;=15,'PL1(Full)'!$P516&gt;60),"x",""))</f>
        <v/>
      </c>
      <c r="U516" s="34" t="str">
        <f>IF(AND('PL1(Full)'!$H516="Thôn",'PL1(Full)'!$I516&lt;75),"x",IF(AND('PL1(Full)'!$H516="Tổ",'PL1(Full)'!$I516&lt;100),"x","-"))</f>
        <v>x</v>
      </c>
      <c r="V516" s="34" t="str">
        <f>IF(AND('PL1(Full)'!$H516="Thôn",'PL1(Full)'!$I516&lt;140),"x",IF(AND('PL1(Full)'!$H516="Tổ",'PL1(Full)'!$I516&lt;210),"x","-"))</f>
        <v>x</v>
      </c>
      <c r="W516" s="40" t="str">
        <f t="shared" si="81"/>
        <v>Loại 3</v>
      </c>
      <c r="X516" s="34"/>
    </row>
    <row r="517" spans="1:24" ht="15.75" customHeight="1">
      <c r="A517" s="30">
        <f>_xlfn.AGGREGATE(4,7,A$6:A516)+1</f>
        <v>362</v>
      </c>
      <c r="B517" s="66" t="str">
        <f t="shared" si="80"/>
        <v>H. Chợ Đồn</v>
      </c>
      <c r="C517" s="31" t="str">
        <f t="shared" si="98"/>
        <v>X. Yên Phong</v>
      </c>
      <c r="D517" s="34"/>
      <c r="E517" s="34" t="s">
        <v>58</v>
      </c>
      <c r="F517" s="31" t="s">
        <v>601</v>
      </c>
      <c r="G517" s="34"/>
      <c r="H517" s="34" t="str">
        <f>IF(LEFT('PL1(Full)'!$F517,4)="Thôn","Thôn","Tổ")</f>
        <v>Thôn</v>
      </c>
      <c r="I517" s="36">
        <v>50</v>
      </c>
      <c r="J517" s="36">
        <v>171</v>
      </c>
      <c r="K517" s="36">
        <v>46</v>
      </c>
      <c r="L517" s="37">
        <f t="shared" si="0"/>
        <v>92</v>
      </c>
      <c r="M517" s="36">
        <v>9</v>
      </c>
      <c r="N517" s="38">
        <f t="shared" si="1"/>
        <v>18</v>
      </c>
      <c r="O517" s="36">
        <v>7</v>
      </c>
      <c r="P517" s="38">
        <f t="shared" si="2"/>
        <v>77.777777777777771</v>
      </c>
      <c r="Q517" s="88" t="s">
        <v>602</v>
      </c>
      <c r="R517" s="88" t="str">
        <f t="shared" si="3"/>
        <v>X</v>
      </c>
      <c r="S517" s="32" t="s">
        <v>60</v>
      </c>
      <c r="T517" s="34" t="str">
        <f>IF('PL1(Full)'!$N517&gt;=20,"x",IF(AND('PL1(Full)'!$N517&gt;=15,'PL1(Full)'!$P517&gt;60),"x",""))</f>
        <v>x</v>
      </c>
      <c r="U517" s="34" t="str">
        <f>IF(AND('PL1(Full)'!$H517="Thôn",'PL1(Full)'!$I517&lt;75),"x",IF(AND('PL1(Full)'!$H517="Tổ",'PL1(Full)'!$I517&lt;100),"x","-"))</f>
        <v>x</v>
      </c>
      <c r="V517" s="34" t="str">
        <f>IF(AND('PL1(Full)'!$H517="Thôn",'PL1(Full)'!$I517&lt;140),"x",IF(AND('PL1(Full)'!$H517="Tổ",'PL1(Full)'!$I517&lt;210),"x","-"))</f>
        <v>x</v>
      </c>
      <c r="W517" s="40" t="str">
        <f t="shared" si="81"/>
        <v>Loại 3</v>
      </c>
      <c r="X517" s="34"/>
    </row>
    <row r="518" spans="1:24" ht="15.75" customHeight="1">
      <c r="A518" s="30">
        <f>_xlfn.AGGREGATE(4,7,A$6:A517)+1</f>
        <v>363</v>
      </c>
      <c r="B518" s="66" t="str">
        <f t="shared" si="80"/>
        <v>H. Chợ Đồn</v>
      </c>
      <c r="C518" s="31" t="str">
        <f t="shared" si="98"/>
        <v>X. Yên Phong</v>
      </c>
      <c r="D518" s="34"/>
      <c r="E518" s="34" t="s">
        <v>58</v>
      </c>
      <c r="F518" s="31" t="s">
        <v>603</v>
      </c>
      <c r="G518" s="34"/>
      <c r="H518" s="34" t="str">
        <f>IF(LEFT('PL1(Full)'!$F518,4)="Thôn","Thôn","Tổ")</f>
        <v>Thôn</v>
      </c>
      <c r="I518" s="36">
        <v>45</v>
      </c>
      <c r="J518" s="36">
        <v>192</v>
      </c>
      <c r="K518" s="36">
        <v>45</v>
      </c>
      <c r="L518" s="37">
        <f t="shared" si="0"/>
        <v>100</v>
      </c>
      <c r="M518" s="36">
        <v>9</v>
      </c>
      <c r="N518" s="38">
        <f t="shared" si="1"/>
        <v>20</v>
      </c>
      <c r="O518" s="36">
        <v>9</v>
      </c>
      <c r="P518" s="38">
        <f t="shared" si="2"/>
        <v>100</v>
      </c>
      <c r="Q518" s="88" t="s">
        <v>600</v>
      </c>
      <c r="R518" s="88" t="str">
        <f t="shared" si="3"/>
        <v>X</v>
      </c>
      <c r="S518" s="32" t="s">
        <v>60</v>
      </c>
      <c r="T518" s="34" t="str">
        <f>IF('PL1(Full)'!$N518&gt;=20,"x",IF(AND('PL1(Full)'!$N518&gt;=15,'PL1(Full)'!$P518&gt;60),"x",""))</f>
        <v>x</v>
      </c>
      <c r="U518" s="34" t="str">
        <f>IF(AND('PL1(Full)'!$H518="Thôn",'PL1(Full)'!$I518&lt;75),"x",IF(AND('PL1(Full)'!$H518="Tổ",'PL1(Full)'!$I518&lt;100),"x","-"))</f>
        <v>x</v>
      </c>
      <c r="V518" s="34" t="str">
        <f>IF(AND('PL1(Full)'!$H518="Thôn",'PL1(Full)'!$I518&lt;140),"x",IF(AND('PL1(Full)'!$H518="Tổ",'PL1(Full)'!$I518&lt;210),"x","-"))</f>
        <v>x</v>
      </c>
      <c r="W518" s="40" t="str">
        <f t="shared" si="81"/>
        <v>Loại 3</v>
      </c>
      <c r="X518" s="34"/>
    </row>
    <row r="519" spans="1:24" ht="15.75" customHeight="1">
      <c r="A519" s="30">
        <f>_xlfn.AGGREGATE(4,7,A$6:A518)+1</f>
        <v>364</v>
      </c>
      <c r="B519" s="66" t="str">
        <f t="shared" si="80"/>
        <v>H. Chợ Đồn</v>
      </c>
      <c r="C519" s="31" t="str">
        <f t="shared" si="98"/>
        <v>X. Yên Phong</v>
      </c>
      <c r="D519" s="34"/>
      <c r="E519" s="34" t="s">
        <v>58</v>
      </c>
      <c r="F519" s="31" t="s">
        <v>604</v>
      </c>
      <c r="G519" s="34"/>
      <c r="H519" s="34" t="str">
        <f>IF(LEFT('PL1(Full)'!$F519,4)="Thôn","Thôn","Tổ")</f>
        <v>Thôn</v>
      </c>
      <c r="I519" s="36">
        <v>62</v>
      </c>
      <c r="J519" s="36">
        <v>270</v>
      </c>
      <c r="K519" s="36">
        <v>62</v>
      </c>
      <c r="L519" s="37">
        <f t="shared" si="0"/>
        <v>100</v>
      </c>
      <c r="M519" s="36">
        <v>15</v>
      </c>
      <c r="N519" s="38">
        <f t="shared" si="1"/>
        <v>24.193548387096776</v>
      </c>
      <c r="O519" s="36">
        <v>15</v>
      </c>
      <c r="P519" s="38">
        <f t="shared" si="2"/>
        <v>100</v>
      </c>
      <c r="Q519" s="88" t="s">
        <v>56</v>
      </c>
      <c r="R519" s="88" t="str">
        <f t="shared" si="3"/>
        <v>X</v>
      </c>
      <c r="S519" s="32" t="s">
        <v>60</v>
      </c>
      <c r="T519" s="34" t="str">
        <f>IF('PL1(Full)'!$N519&gt;=20,"x",IF(AND('PL1(Full)'!$N519&gt;=15,'PL1(Full)'!$P519&gt;60),"x",""))</f>
        <v>x</v>
      </c>
      <c r="U519" s="34" t="str">
        <f>IF(AND('PL1(Full)'!$H519="Thôn",'PL1(Full)'!$I519&lt;75),"x",IF(AND('PL1(Full)'!$H519="Tổ",'PL1(Full)'!$I519&lt;100),"x","-"))</f>
        <v>x</v>
      </c>
      <c r="V519" s="34" t="str">
        <f>IF(AND('PL1(Full)'!$H519="Thôn",'PL1(Full)'!$I519&lt;140),"x",IF(AND('PL1(Full)'!$H519="Tổ",'PL1(Full)'!$I519&lt;210),"x","-"))</f>
        <v>x</v>
      </c>
      <c r="W519" s="40" t="str">
        <f t="shared" si="81"/>
        <v>Loại 3</v>
      </c>
      <c r="X519" s="34"/>
    </row>
    <row r="520" spans="1:24" ht="15.75" customHeight="1">
      <c r="A520" s="30">
        <f>_xlfn.AGGREGATE(4,7,A$6:A519)+1</f>
        <v>365</v>
      </c>
      <c r="B520" s="66" t="str">
        <f t="shared" si="80"/>
        <v>H. Chợ Đồn</v>
      </c>
      <c r="C520" s="31" t="str">
        <f t="shared" si="98"/>
        <v>X. Yên Phong</v>
      </c>
      <c r="D520" s="34"/>
      <c r="E520" s="34" t="s">
        <v>58</v>
      </c>
      <c r="F520" s="31" t="s">
        <v>605</v>
      </c>
      <c r="G520" s="34"/>
      <c r="H520" s="34" t="str">
        <f>IF(LEFT('PL1(Full)'!$F520,4)="Thôn","Thôn","Tổ")</f>
        <v>Thôn</v>
      </c>
      <c r="I520" s="36">
        <v>59</v>
      </c>
      <c r="J520" s="36">
        <v>249</v>
      </c>
      <c r="K520" s="36">
        <v>57</v>
      </c>
      <c r="L520" s="37">
        <f t="shared" si="0"/>
        <v>96.610169491525426</v>
      </c>
      <c r="M520" s="36">
        <v>3</v>
      </c>
      <c r="N520" s="38">
        <f t="shared" si="1"/>
        <v>5.0847457627118642</v>
      </c>
      <c r="O520" s="36">
        <v>3</v>
      </c>
      <c r="P520" s="38">
        <f t="shared" si="2"/>
        <v>100</v>
      </c>
      <c r="Q520" s="88" t="s">
        <v>43</v>
      </c>
      <c r="R520" s="88" t="str">
        <f t="shared" si="3"/>
        <v>X</v>
      </c>
      <c r="S520" s="32"/>
      <c r="T520" s="34" t="str">
        <f>IF('PL1(Full)'!$N520&gt;=20,"x",IF(AND('PL1(Full)'!$N520&gt;=15,'PL1(Full)'!$P520&gt;60),"x",""))</f>
        <v/>
      </c>
      <c r="U520" s="34" t="str">
        <f>IF(AND('PL1(Full)'!$H520="Thôn",'PL1(Full)'!$I520&lt;75),"x",IF(AND('PL1(Full)'!$H520="Tổ",'PL1(Full)'!$I520&lt;100),"x","-"))</f>
        <v>x</v>
      </c>
      <c r="V520" s="34" t="str">
        <f>IF(AND('PL1(Full)'!$H520="Thôn",'PL1(Full)'!$I520&lt;140),"x",IF(AND('PL1(Full)'!$H520="Tổ",'PL1(Full)'!$I520&lt;210),"x","-"))</f>
        <v>x</v>
      </c>
      <c r="W520" s="40" t="str">
        <f t="shared" si="81"/>
        <v>Loại 3</v>
      </c>
      <c r="X520" s="34"/>
    </row>
    <row r="521" spans="1:24" ht="15.75" customHeight="1">
      <c r="A521" s="30">
        <f>_xlfn.AGGREGATE(4,7,A$6:A520)+1</f>
        <v>366</v>
      </c>
      <c r="B521" s="66" t="str">
        <f t="shared" si="80"/>
        <v>H. Chợ Đồn</v>
      </c>
      <c r="C521" s="31" t="str">
        <f t="shared" si="98"/>
        <v>X. Yên Phong</v>
      </c>
      <c r="D521" s="34"/>
      <c r="E521" s="34" t="s">
        <v>58</v>
      </c>
      <c r="F521" s="31" t="s">
        <v>606</v>
      </c>
      <c r="G521" s="34"/>
      <c r="H521" s="34" t="str">
        <f>IF(LEFT('PL1(Full)'!$F521,4)="Thôn","Thôn","Tổ")</f>
        <v>Thôn</v>
      </c>
      <c r="I521" s="36">
        <v>73</v>
      </c>
      <c r="J521" s="36">
        <v>295</v>
      </c>
      <c r="K521" s="36">
        <v>70</v>
      </c>
      <c r="L521" s="37">
        <f t="shared" si="0"/>
        <v>95.890410958904113</v>
      </c>
      <c r="M521" s="36">
        <v>16</v>
      </c>
      <c r="N521" s="38">
        <f t="shared" si="1"/>
        <v>21.917808219178081</v>
      </c>
      <c r="O521" s="36">
        <v>16</v>
      </c>
      <c r="P521" s="38">
        <f t="shared" si="2"/>
        <v>100</v>
      </c>
      <c r="Q521" s="88" t="s">
        <v>602</v>
      </c>
      <c r="R521" s="88" t="str">
        <f t="shared" si="3"/>
        <v>X</v>
      </c>
      <c r="S521" s="32"/>
      <c r="T521" s="34" t="str">
        <f>IF('PL1(Full)'!$N521&gt;=20,"x",IF(AND('PL1(Full)'!$N521&gt;=15,'PL1(Full)'!$P521&gt;60),"x",""))</f>
        <v>x</v>
      </c>
      <c r="U521" s="34" t="str">
        <f>IF(AND('PL1(Full)'!$H521="Thôn",'PL1(Full)'!$I521&lt;75),"x",IF(AND('PL1(Full)'!$H521="Tổ",'PL1(Full)'!$I521&lt;100),"x","-"))</f>
        <v>x</v>
      </c>
      <c r="V521" s="34" t="str">
        <f>IF(AND('PL1(Full)'!$H521="Thôn",'PL1(Full)'!$I521&lt;140),"x",IF(AND('PL1(Full)'!$H521="Tổ",'PL1(Full)'!$I521&lt;210),"x","-"))</f>
        <v>x</v>
      </c>
      <c r="W521" s="40" t="str">
        <f t="shared" si="81"/>
        <v>Loại 3</v>
      </c>
      <c r="X521" s="34"/>
    </row>
    <row r="522" spans="1:24" ht="15.75" customHeight="1">
      <c r="A522" s="30">
        <f>_xlfn.AGGREGATE(4,7,A$6:A521)+1</f>
        <v>367</v>
      </c>
      <c r="B522" s="66" t="str">
        <f t="shared" si="80"/>
        <v>H. Chợ Đồn</v>
      </c>
      <c r="C522" s="31" t="str">
        <f t="shared" si="98"/>
        <v>X. Yên Phong</v>
      </c>
      <c r="D522" s="34"/>
      <c r="E522" s="34" t="s">
        <v>58</v>
      </c>
      <c r="F522" s="31" t="s">
        <v>607</v>
      </c>
      <c r="G522" s="34"/>
      <c r="H522" s="34" t="str">
        <f>IF(LEFT('PL1(Full)'!$F522,4)="Thôn","Thôn","Tổ")</f>
        <v>Thôn</v>
      </c>
      <c r="I522" s="36">
        <v>54</v>
      </c>
      <c r="J522" s="36">
        <v>271</v>
      </c>
      <c r="K522" s="36">
        <v>52</v>
      </c>
      <c r="L522" s="37">
        <f t="shared" si="0"/>
        <v>96.296296296296291</v>
      </c>
      <c r="M522" s="36">
        <v>10</v>
      </c>
      <c r="N522" s="38">
        <f t="shared" si="1"/>
        <v>18.518518518518519</v>
      </c>
      <c r="O522" s="36">
        <v>10</v>
      </c>
      <c r="P522" s="38">
        <f t="shared" si="2"/>
        <v>100</v>
      </c>
      <c r="Q522" s="88" t="s">
        <v>56</v>
      </c>
      <c r="R522" s="88" t="str">
        <f t="shared" si="3"/>
        <v>X</v>
      </c>
      <c r="S522" s="32" t="s">
        <v>60</v>
      </c>
      <c r="T522" s="34" t="str">
        <f>IF('PL1(Full)'!$N522&gt;=20,"x",IF(AND('PL1(Full)'!$N522&gt;=15,'PL1(Full)'!$P522&gt;60),"x",""))</f>
        <v>x</v>
      </c>
      <c r="U522" s="34" t="str">
        <f>IF(AND('PL1(Full)'!$H522="Thôn",'PL1(Full)'!$I522&lt;75),"x",IF(AND('PL1(Full)'!$H522="Tổ",'PL1(Full)'!$I522&lt;100),"x","-"))</f>
        <v>x</v>
      </c>
      <c r="V522" s="34" t="str">
        <f>IF(AND('PL1(Full)'!$H522="Thôn",'PL1(Full)'!$I522&lt;140),"x",IF(AND('PL1(Full)'!$H522="Tổ",'PL1(Full)'!$I522&lt;210),"x","-"))</f>
        <v>x</v>
      </c>
      <c r="W522" s="40" t="str">
        <f t="shared" si="81"/>
        <v>Loại 3</v>
      </c>
      <c r="X522" s="34"/>
    </row>
    <row r="523" spans="1:24" ht="15.75" customHeight="1">
      <c r="A523" s="30">
        <f>_xlfn.AGGREGATE(4,7,A$6:A522)+1</f>
        <v>368</v>
      </c>
      <c r="B523" s="66" t="str">
        <f t="shared" si="80"/>
        <v>H. Chợ Đồn</v>
      </c>
      <c r="C523" s="31" t="str">
        <f t="shared" si="98"/>
        <v>X. Yên Phong</v>
      </c>
      <c r="D523" s="34"/>
      <c r="E523" s="34" t="s">
        <v>58</v>
      </c>
      <c r="F523" s="31" t="s">
        <v>608</v>
      </c>
      <c r="G523" s="34"/>
      <c r="H523" s="34" t="str">
        <f>IF(LEFT('PL1(Full)'!$F523,4)="Thôn","Thôn","Tổ")</f>
        <v>Thôn</v>
      </c>
      <c r="I523" s="36">
        <v>28</v>
      </c>
      <c r="J523" s="36">
        <v>101</v>
      </c>
      <c r="K523" s="36">
        <v>27</v>
      </c>
      <c r="L523" s="37">
        <f t="shared" si="0"/>
        <v>96.428571428571431</v>
      </c>
      <c r="M523" s="36">
        <v>10</v>
      </c>
      <c r="N523" s="38">
        <f t="shared" si="1"/>
        <v>35.714285714285715</v>
      </c>
      <c r="O523" s="36">
        <v>10</v>
      </c>
      <c r="P523" s="38">
        <f t="shared" si="2"/>
        <v>100</v>
      </c>
      <c r="Q523" s="88" t="s">
        <v>330</v>
      </c>
      <c r="R523" s="88" t="str">
        <f t="shared" si="3"/>
        <v>X</v>
      </c>
      <c r="S523" s="32" t="s">
        <v>60</v>
      </c>
      <c r="T523" s="34" t="str">
        <f>IF('PL1(Full)'!$N523&gt;=20,"x",IF(AND('PL1(Full)'!$N523&gt;=15,'PL1(Full)'!$P523&gt;60),"x",""))</f>
        <v>x</v>
      </c>
      <c r="U523" s="34" t="str">
        <f>IF(AND('PL1(Full)'!$H523="Thôn",'PL1(Full)'!$I523&lt;75),"x",IF(AND('PL1(Full)'!$H523="Tổ",'PL1(Full)'!$I523&lt;100),"x","-"))</f>
        <v>x</v>
      </c>
      <c r="V523" s="34" t="str">
        <f>IF(AND('PL1(Full)'!$H523="Thôn",'PL1(Full)'!$I523&lt;140),"x",IF(AND('PL1(Full)'!$H523="Tổ",'PL1(Full)'!$I523&lt;210),"x","-"))</f>
        <v>x</v>
      </c>
      <c r="W523" s="40" t="str">
        <f t="shared" si="81"/>
        <v>Loại 3</v>
      </c>
      <c r="X523" s="34"/>
    </row>
    <row r="524" spans="1:24" ht="15.75" customHeight="1">
      <c r="A524" s="30">
        <f>_xlfn.AGGREGATE(4,7,A$6:A523)+1</f>
        <v>369</v>
      </c>
      <c r="B524" s="66" t="str">
        <f t="shared" si="80"/>
        <v>H. Chợ Đồn</v>
      </c>
      <c r="C524" s="31" t="str">
        <f t="shared" si="98"/>
        <v>X. Yên Phong</v>
      </c>
      <c r="D524" s="34"/>
      <c r="E524" s="34" t="s">
        <v>58</v>
      </c>
      <c r="F524" s="31" t="s">
        <v>609</v>
      </c>
      <c r="G524" s="34"/>
      <c r="H524" s="34" t="str">
        <f>IF(LEFT('PL1(Full)'!$F524,4)="Thôn","Thôn","Tổ")</f>
        <v>Thôn</v>
      </c>
      <c r="I524" s="36">
        <v>44</v>
      </c>
      <c r="J524" s="36">
        <v>159</v>
      </c>
      <c r="K524" s="36">
        <v>42</v>
      </c>
      <c r="L524" s="37">
        <f t="shared" si="0"/>
        <v>95.454545454545453</v>
      </c>
      <c r="M524" s="36">
        <v>13</v>
      </c>
      <c r="N524" s="38">
        <f t="shared" si="1"/>
        <v>29.545454545454547</v>
      </c>
      <c r="O524" s="36">
        <v>13</v>
      </c>
      <c r="P524" s="38">
        <f t="shared" si="2"/>
        <v>100</v>
      </c>
      <c r="Q524" s="88" t="s">
        <v>158</v>
      </c>
      <c r="R524" s="88" t="str">
        <f t="shared" si="3"/>
        <v>X</v>
      </c>
      <c r="S524" s="32" t="s">
        <v>60</v>
      </c>
      <c r="T524" s="34" t="str">
        <f>IF('PL1(Full)'!$N524&gt;=20,"x",IF(AND('PL1(Full)'!$N524&gt;=15,'PL1(Full)'!$P524&gt;60),"x",""))</f>
        <v>x</v>
      </c>
      <c r="U524" s="34" t="str">
        <f>IF(AND('PL1(Full)'!$H524="Thôn",'PL1(Full)'!$I524&lt;75),"x",IF(AND('PL1(Full)'!$H524="Tổ",'PL1(Full)'!$I524&lt;100),"x","-"))</f>
        <v>x</v>
      </c>
      <c r="V524" s="34" t="str">
        <f>IF(AND('PL1(Full)'!$H524="Thôn",'PL1(Full)'!$I524&lt;140),"x",IF(AND('PL1(Full)'!$H524="Tổ",'PL1(Full)'!$I524&lt;210),"x","-"))</f>
        <v>x</v>
      </c>
      <c r="W524" s="40" t="str">
        <f t="shared" si="81"/>
        <v>Loại 3</v>
      </c>
      <c r="X524" s="34"/>
    </row>
    <row r="525" spans="1:24" ht="15.75" customHeight="1">
      <c r="A525" s="30">
        <f>_xlfn.AGGREGATE(4,7,A$6:A524)+1</f>
        <v>370</v>
      </c>
      <c r="B525" s="66" t="str">
        <f t="shared" si="80"/>
        <v>H. Chợ Đồn</v>
      </c>
      <c r="C525" s="31" t="str">
        <f t="shared" si="98"/>
        <v>X. Yên Phong</v>
      </c>
      <c r="D525" s="34"/>
      <c r="E525" s="34" t="s">
        <v>58</v>
      </c>
      <c r="F525" s="31" t="s">
        <v>610</v>
      </c>
      <c r="G525" s="34"/>
      <c r="H525" s="34" t="str">
        <f>IF(LEFT('PL1(Full)'!$F525,4)="Thôn","Thôn","Tổ")</f>
        <v>Thôn</v>
      </c>
      <c r="I525" s="36">
        <v>31</v>
      </c>
      <c r="J525" s="36">
        <v>137</v>
      </c>
      <c r="K525" s="36">
        <v>31</v>
      </c>
      <c r="L525" s="37">
        <f t="shared" si="0"/>
        <v>100</v>
      </c>
      <c r="M525" s="36">
        <v>9</v>
      </c>
      <c r="N525" s="38">
        <f t="shared" si="1"/>
        <v>29.032258064516128</v>
      </c>
      <c r="O525" s="36">
        <v>9</v>
      </c>
      <c r="P525" s="38">
        <f t="shared" si="2"/>
        <v>100</v>
      </c>
      <c r="Q525" s="88" t="s">
        <v>600</v>
      </c>
      <c r="R525" s="88" t="str">
        <f t="shared" si="3"/>
        <v>X</v>
      </c>
      <c r="S525" s="32" t="s">
        <v>60</v>
      </c>
      <c r="T525" s="34" t="str">
        <f>IF('PL1(Full)'!$N525&gt;=20,"x",IF(AND('PL1(Full)'!$N525&gt;=15,'PL1(Full)'!$P525&gt;60),"x",""))</f>
        <v>x</v>
      </c>
      <c r="U525" s="34" t="str">
        <f>IF(AND('PL1(Full)'!$H525="Thôn",'PL1(Full)'!$I525&lt;75),"x",IF(AND('PL1(Full)'!$H525="Tổ",'PL1(Full)'!$I525&lt;100),"x","-"))</f>
        <v>x</v>
      </c>
      <c r="V525" s="34" t="str">
        <f>IF(AND('PL1(Full)'!$H525="Thôn",'PL1(Full)'!$I525&lt;140),"x",IF(AND('PL1(Full)'!$H525="Tổ",'PL1(Full)'!$I525&lt;210),"x","-"))</f>
        <v>x</v>
      </c>
      <c r="W525" s="40" t="str">
        <f t="shared" si="81"/>
        <v>Loại 3</v>
      </c>
      <c r="X525" s="34"/>
    </row>
    <row r="526" spans="1:24" ht="15.75" customHeight="1">
      <c r="A526" s="30">
        <f>_xlfn.AGGREGATE(4,7,A$6:A525)+1</f>
        <v>371</v>
      </c>
      <c r="B526" s="66" t="str">
        <f t="shared" si="80"/>
        <v>H. Chợ Đồn</v>
      </c>
      <c r="C526" s="31" t="str">
        <f t="shared" si="98"/>
        <v>X. Yên Phong</v>
      </c>
      <c r="D526" s="34"/>
      <c r="E526" s="34" t="s">
        <v>58</v>
      </c>
      <c r="F526" s="31" t="s">
        <v>611</v>
      </c>
      <c r="G526" s="34"/>
      <c r="H526" s="34" t="str">
        <f>IF(LEFT('PL1(Full)'!$F526,4)="Thôn","Thôn","Tổ")</f>
        <v>Thôn</v>
      </c>
      <c r="I526" s="36">
        <v>47</v>
      </c>
      <c r="J526" s="36">
        <v>186</v>
      </c>
      <c r="K526" s="36">
        <v>45</v>
      </c>
      <c r="L526" s="37">
        <f t="shared" si="0"/>
        <v>95.744680851063833</v>
      </c>
      <c r="M526" s="36">
        <v>11</v>
      </c>
      <c r="N526" s="38">
        <f t="shared" si="1"/>
        <v>23.404255319148938</v>
      </c>
      <c r="O526" s="36">
        <v>10</v>
      </c>
      <c r="P526" s="38">
        <f t="shared" si="2"/>
        <v>90.909090909090907</v>
      </c>
      <c r="Q526" s="88" t="s">
        <v>56</v>
      </c>
      <c r="R526" s="88" t="str">
        <f t="shared" si="3"/>
        <v>X</v>
      </c>
      <c r="S526" s="32" t="s">
        <v>60</v>
      </c>
      <c r="T526" s="34" t="str">
        <f>IF('PL1(Full)'!$N526&gt;=20,"x",IF(AND('PL1(Full)'!$N526&gt;=15,'PL1(Full)'!$P526&gt;60),"x",""))</f>
        <v>x</v>
      </c>
      <c r="U526" s="34" t="str">
        <f>IF(AND('PL1(Full)'!$H526="Thôn",'PL1(Full)'!$I526&lt;75),"x",IF(AND('PL1(Full)'!$H526="Tổ",'PL1(Full)'!$I526&lt;100),"x","-"))</f>
        <v>x</v>
      </c>
      <c r="V526" s="34" t="str">
        <f>IF(AND('PL1(Full)'!$H526="Thôn",'PL1(Full)'!$I526&lt;140),"x",IF(AND('PL1(Full)'!$H526="Tổ",'PL1(Full)'!$I526&lt;210),"x","-"))</f>
        <v>x</v>
      </c>
      <c r="W526" s="40" t="str">
        <f t="shared" si="81"/>
        <v>Loại 3</v>
      </c>
      <c r="X526" s="34"/>
    </row>
    <row r="527" spans="1:24" ht="15.75" customHeight="1">
      <c r="A527" s="30">
        <f>_xlfn.AGGREGATE(4,7,A$6:A526)+1</f>
        <v>372</v>
      </c>
      <c r="B527" s="66" t="str">
        <f t="shared" si="80"/>
        <v>H. Chợ Đồn</v>
      </c>
      <c r="C527" s="31" t="str">
        <f t="shared" si="98"/>
        <v>X. Yên Phong</v>
      </c>
      <c r="D527" s="34"/>
      <c r="E527" s="34" t="s">
        <v>58</v>
      </c>
      <c r="F527" s="31" t="s">
        <v>612</v>
      </c>
      <c r="G527" s="34"/>
      <c r="H527" s="34" t="str">
        <f>IF(LEFT('PL1(Full)'!$F527,4)="Thôn","Thôn","Tổ")</f>
        <v>Thôn</v>
      </c>
      <c r="I527" s="36">
        <v>52</v>
      </c>
      <c r="J527" s="36">
        <v>215</v>
      </c>
      <c r="K527" s="36">
        <v>46</v>
      </c>
      <c r="L527" s="37">
        <f t="shared" si="0"/>
        <v>88.461538461538467</v>
      </c>
      <c r="M527" s="36">
        <v>7</v>
      </c>
      <c r="N527" s="38">
        <f t="shared" si="1"/>
        <v>13.461538461538462</v>
      </c>
      <c r="O527" s="36">
        <v>6</v>
      </c>
      <c r="P527" s="38">
        <f t="shared" si="2"/>
        <v>85.714285714285708</v>
      </c>
      <c r="Q527" s="88" t="s">
        <v>158</v>
      </c>
      <c r="R527" s="88" t="str">
        <f t="shared" si="3"/>
        <v>X</v>
      </c>
      <c r="S527" s="32"/>
      <c r="T527" s="34" t="str">
        <f>IF('PL1(Full)'!$N527&gt;=20,"x",IF(AND('PL1(Full)'!$N527&gt;=15,'PL1(Full)'!$P527&gt;60),"x",""))</f>
        <v/>
      </c>
      <c r="U527" s="34" t="str">
        <f>IF(AND('PL1(Full)'!$H527="Thôn",'PL1(Full)'!$I527&lt;75),"x",IF(AND('PL1(Full)'!$H527="Tổ",'PL1(Full)'!$I527&lt;100),"x","-"))</f>
        <v>x</v>
      </c>
      <c r="V527" s="34" t="str">
        <f>IF(AND('PL1(Full)'!$H527="Thôn",'PL1(Full)'!$I527&lt;140),"x",IF(AND('PL1(Full)'!$H527="Tổ",'PL1(Full)'!$I527&lt;210),"x","-"))</f>
        <v>x</v>
      </c>
      <c r="W527" s="40" t="str">
        <f t="shared" si="81"/>
        <v>Loại 3</v>
      </c>
      <c r="X527" s="34"/>
    </row>
    <row r="528" spans="1:24" ht="15.75" customHeight="1">
      <c r="A528" s="30">
        <f>_xlfn.AGGREGATE(4,7,A$6:A527)+1</f>
        <v>373</v>
      </c>
      <c r="B528" s="66" t="str">
        <f t="shared" si="80"/>
        <v>H. Chợ Đồn</v>
      </c>
      <c r="C528" s="31" t="str">
        <f t="shared" si="98"/>
        <v>X. Yên Phong</v>
      </c>
      <c r="D528" s="34"/>
      <c r="E528" s="34" t="s">
        <v>58</v>
      </c>
      <c r="F528" s="31" t="s">
        <v>613</v>
      </c>
      <c r="G528" s="34"/>
      <c r="H528" s="34" t="str">
        <f>IF(LEFT('PL1(Full)'!$F528,4)="Thôn","Thôn","Tổ")</f>
        <v>Thôn</v>
      </c>
      <c r="I528" s="36">
        <v>31</v>
      </c>
      <c r="J528" s="36">
        <v>117</v>
      </c>
      <c r="K528" s="36">
        <v>31</v>
      </c>
      <c r="L528" s="37">
        <f t="shared" si="0"/>
        <v>100</v>
      </c>
      <c r="M528" s="36">
        <v>7</v>
      </c>
      <c r="N528" s="38">
        <f t="shared" si="1"/>
        <v>22.580645161290324</v>
      </c>
      <c r="O528" s="36">
        <v>7</v>
      </c>
      <c r="P528" s="38">
        <f t="shared" si="2"/>
        <v>100</v>
      </c>
      <c r="Q528" s="88" t="s">
        <v>600</v>
      </c>
      <c r="R528" s="88" t="str">
        <f t="shared" si="3"/>
        <v>X</v>
      </c>
      <c r="S528" s="32" t="s">
        <v>60</v>
      </c>
      <c r="T528" s="34" t="str">
        <f>IF('PL1(Full)'!$N528&gt;=20,"x",IF(AND('PL1(Full)'!$N528&gt;=15,'PL1(Full)'!$P528&gt;60),"x",""))</f>
        <v>x</v>
      </c>
      <c r="U528" s="34" t="str">
        <f>IF(AND('PL1(Full)'!$H528="Thôn",'PL1(Full)'!$I528&lt;75),"x",IF(AND('PL1(Full)'!$H528="Tổ",'PL1(Full)'!$I528&lt;100),"x","-"))</f>
        <v>x</v>
      </c>
      <c r="V528" s="34" t="str">
        <f>IF(AND('PL1(Full)'!$H528="Thôn",'PL1(Full)'!$I528&lt;140),"x",IF(AND('PL1(Full)'!$H528="Tổ",'PL1(Full)'!$I528&lt;210),"x","-"))</f>
        <v>x</v>
      </c>
      <c r="W528" s="40" t="str">
        <f t="shared" si="81"/>
        <v>Loại 3</v>
      </c>
      <c r="X528" s="34"/>
    </row>
    <row r="529" spans="1:24" ht="15.75" customHeight="1">
      <c r="A529" s="30">
        <f>_xlfn.AGGREGATE(4,7,A$6:A528)+1</f>
        <v>374</v>
      </c>
      <c r="B529" s="66" t="str">
        <f t="shared" si="80"/>
        <v>H. Chợ Đồn</v>
      </c>
      <c r="C529" s="31" t="str">
        <f t="shared" si="98"/>
        <v>X. Yên Phong</v>
      </c>
      <c r="D529" s="34"/>
      <c r="E529" s="34" t="s">
        <v>58</v>
      </c>
      <c r="F529" s="31" t="s">
        <v>614</v>
      </c>
      <c r="G529" s="34"/>
      <c r="H529" s="34" t="str">
        <f>IF(LEFT('PL1(Full)'!$F529,4)="Thôn","Thôn","Tổ")</f>
        <v>Thôn</v>
      </c>
      <c r="I529" s="36">
        <v>43</v>
      </c>
      <c r="J529" s="36">
        <v>177</v>
      </c>
      <c r="K529" s="36">
        <v>39</v>
      </c>
      <c r="L529" s="37">
        <f t="shared" si="0"/>
        <v>90.697674418604649</v>
      </c>
      <c r="M529" s="36">
        <v>10</v>
      </c>
      <c r="N529" s="38">
        <f t="shared" si="1"/>
        <v>23.255813953488371</v>
      </c>
      <c r="O529" s="36">
        <v>10</v>
      </c>
      <c r="P529" s="38">
        <f t="shared" si="2"/>
        <v>100</v>
      </c>
      <c r="Q529" s="88" t="s">
        <v>52</v>
      </c>
      <c r="R529" s="88" t="str">
        <f t="shared" si="3"/>
        <v>C</v>
      </c>
      <c r="S529" s="32" t="s">
        <v>60</v>
      </c>
      <c r="T529" s="34" t="str">
        <f>IF('PL1(Full)'!$N529&gt;=20,"x",IF(AND('PL1(Full)'!$N529&gt;=15,'PL1(Full)'!$P529&gt;60),"x",""))</f>
        <v>x</v>
      </c>
      <c r="U529" s="34" t="str">
        <f>IF(AND('PL1(Full)'!$H529="Thôn",'PL1(Full)'!$I529&lt;75),"x",IF(AND('PL1(Full)'!$H529="Tổ",'PL1(Full)'!$I529&lt;100),"x","-"))</f>
        <v>x</v>
      </c>
      <c r="V529" s="34" t="str">
        <f>IF(AND('PL1(Full)'!$H529="Thôn",'PL1(Full)'!$I529&lt;140),"x",IF(AND('PL1(Full)'!$H529="Tổ",'PL1(Full)'!$I529&lt;210),"x","-"))</f>
        <v>x</v>
      </c>
      <c r="W529" s="40" t="str">
        <f t="shared" si="81"/>
        <v>Loại 3</v>
      </c>
      <c r="X529" s="34"/>
    </row>
    <row r="530" spans="1:24" ht="15.75" customHeight="1">
      <c r="A530" s="30">
        <f>_xlfn.AGGREGATE(4,7,A$6:A529)+1</f>
        <v>375</v>
      </c>
      <c r="B530" s="66" t="str">
        <f t="shared" si="80"/>
        <v>H. Chợ Đồn</v>
      </c>
      <c r="C530" s="31" t="str">
        <f t="shared" si="98"/>
        <v>X. Yên Phong</v>
      </c>
      <c r="D530" s="34"/>
      <c r="E530" s="34" t="s">
        <v>58</v>
      </c>
      <c r="F530" s="31" t="s">
        <v>615</v>
      </c>
      <c r="G530" s="34"/>
      <c r="H530" s="34" t="str">
        <f>IF(LEFT('PL1(Full)'!$F530,4)="Thôn","Thôn","Tổ")</f>
        <v>Thôn</v>
      </c>
      <c r="I530" s="36">
        <v>38</v>
      </c>
      <c r="J530" s="36">
        <v>156</v>
      </c>
      <c r="K530" s="36">
        <v>38</v>
      </c>
      <c r="L530" s="37">
        <f t="shared" si="0"/>
        <v>100</v>
      </c>
      <c r="M530" s="36">
        <v>10</v>
      </c>
      <c r="N530" s="38">
        <f t="shared" si="1"/>
        <v>26.315789473684209</v>
      </c>
      <c r="O530" s="36">
        <v>10</v>
      </c>
      <c r="P530" s="38">
        <f t="shared" si="2"/>
        <v>100</v>
      </c>
      <c r="Q530" s="88" t="s">
        <v>158</v>
      </c>
      <c r="R530" s="88" t="str">
        <f t="shared" si="3"/>
        <v>X</v>
      </c>
      <c r="S530" s="32"/>
      <c r="T530" s="34" t="str">
        <f>IF('PL1(Full)'!$N530&gt;=20,"x",IF(AND('PL1(Full)'!$N530&gt;=15,'PL1(Full)'!$P530&gt;60),"x",""))</f>
        <v>x</v>
      </c>
      <c r="U530" s="34" t="str">
        <f>IF(AND('PL1(Full)'!$H530="Thôn",'PL1(Full)'!$I530&lt;75),"x",IF(AND('PL1(Full)'!$H530="Tổ",'PL1(Full)'!$I530&lt;100),"x","-"))</f>
        <v>x</v>
      </c>
      <c r="V530" s="34" t="str">
        <f>IF(AND('PL1(Full)'!$H530="Thôn",'PL1(Full)'!$I530&lt;140),"x",IF(AND('PL1(Full)'!$H530="Tổ",'PL1(Full)'!$I530&lt;210),"x","-"))</f>
        <v>x</v>
      </c>
      <c r="W530" s="40" t="str">
        <f t="shared" si="81"/>
        <v>Loại 3</v>
      </c>
      <c r="X530" s="34"/>
    </row>
    <row r="531" spans="1:24" ht="15.75" customHeight="1">
      <c r="A531" s="41">
        <f>_xlfn.AGGREGATE(4,7,A$6:A530)+1</f>
        <v>376</v>
      </c>
      <c r="B531" s="67" t="str">
        <f t="shared" si="80"/>
        <v>H. Chợ Đồn</v>
      </c>
      <c r="C531" s="42" t="str">
        <f t="shared" si="98"/>
        <v>X. Yên Phong</v>
      </c>
      <c r="D531" s="50"/>
      <c r="E531" s="50" t="s">
        <v>58</v>
      </c>
      <c r="F531" s="42" t="s">
        <v>616</v>
      </c>
      <c r="G531" s="50"/>
      <c r="H531" s="50" t="str">
        <f>IF(LEFT('PL1(Full)'!$F531,4)="Thôn","Thôn","Tổ")</f>
        <v>Thôn</v>
      </c>
      <c r="I531" s="46">
        <v>40</v>
      </c>
      <c r="J531" s="46">
        <v>157</v>
      </c>
      <c r="K531" s="46">
        <v>35</v>
      </c>
      <c r="L531" s="47">
        <f t="shared" si="0"/>
        <v>87.5</v>
      </c>
      <c r="M531" s="46">
        <v>9</v>
      </c>
      <c r="N531" s="48">
        <f t="shared" si="1"/>
        <v>22.5</v>
      </c>
      <c r="O531" s="46">
        <v>8</v>
      </c>
      <c r="P531" s="48">
        <f t="shared" si="2"/>
        <v>88.888888888888886</v>
      </c>
      <c r="Q531" s="89" t="s">
        <v>600</v>
      </c>
      <c r="R531" s="89" t="str">
        <f t="shared" si="3"/>
        <v>X</v>
      </c>
      <c r="S531" s="43" t="s">
        <v>60</v>
      </c>
      <c r="T531" s="50" t="str">
        <f>IF('PL1(Full)'!$N531&gt;=20,"x",IF(AND('PL1(Full)'!$N531&gt;=15,'PL1(Full)'!$P531&gt;60),"x",""))</f>
        <v>x</v>
      </c>
      <c r="U531" s="50" t="str">
        <f>IF(AND('PL1(Full)'!$H531="Thôn",'PL1(Full)'!$I531&lt;75),"x",IF(AND('PL1(Full)'!$H531="Tổ",'PL1(Full)'!$I531&lt;100),"x","-"))</f>
        <v>x</v>
      </c>
      <c r="V531" s="34" t="str">
        <f>IF(AND('PL1(Full)'!$H531="Thôn",'PL1(Full)'!$I531&lt;140),"x",IF(AND('PL1(Full)'!$H531="Tổ",'PL1(Full)'!$I531&lt;210),"x","-"))</f>
        <v>x</v>
      </c>
      <c r="W531" s="51" t="str">
        <f t="shared" si="81"/>
        <v>Loại 3</v>
      </c>
      <c r="X531" s="50"/>
    </row>
    <row r="532" spans="1:24" ht="15.75" customHeight="1">
      <c r="A532" s="52">
        <f>_xlfn.AGGREGATE(4,7,A$6:A531)+1</f>
        <v>377</v>
      </c>
      <c r="B532" s="65" t="str">
        <f t="shared" si="80"/>
        <v>H. Chợ Đồn</v>
      </c>
      <c r="C532" s="14" t="s">
        <v>617</v>
      </c>
      <c r="D532" s="25" t="s">
        <v>36</v>
      </c>
      <c r="E532" s="25" t="s">
        <v>36</v>
      </c>
      <c r="F532" s="14" t="s">
        <v>618</v>
      </c>
      <c r="G532" s="25"/>
      <c r="H532" s="25" t="str">
        <f>IF(LEFT('PL1(Full)'!$F532,4)="Thôn","Thôn","Tổ")</f>
        <v>Thôn</v>
      </c>
      <c r="I532" s="20">
        <v>60</v>
      </c>
      <c r="J532" s="20">
        <v>214</v>
      </c>
      <c r="K532" s="20">
        <v>59</v>
      </c>
      <c r="L532" s="21">
        <f t="shared" si="0"/>
        <v>98.333333333333329</v>
      </c>
      <c r="M532" s="20">
        <v>2</v>
      </c>
      <c r="N532" s="22">
        <f t="shared" si="1"/>
        <v>3.3333333333333335</v>
      </c>
      <c r="O532" s="20">
        <v>2</v>
      </c>
      <c r="P532" s="22">
        <f t="shared" si="2"/>
        <v>100</v>
      </c>
      <c r="Q532" s="87" t="s">
        <v>63</v>
      </c>
      <c r="R532" s="87" t="str">
        <f t="shared" si="3"/>
        <v>X</v>
      </c>
      <c r="S532" s="18"/>
      <c r="T532" s="26"/>
      <c r="U532" s="27" t="str">
        <f>IF(AND('PL1(Full)'!$H532="Thôn",'PL1(Full)'!$I532&lt;75),"x",IF(AND('PL1(Full)'!$H532="Tổ",'PL1(Full)'!$I532&lt;100),"x","-"))</f>
        <v>x</v>
      </c>
      <c r="V532" s="28" t="str">
        <f>IF(AND('PL1(Full)'!$H532="Thôn",'PL1(Full)'!$I532&lt;140),"x",IF(AND('PL1(Full)'!$H532="Tổ",'PL1(Full)'!$I532&lt;210),"x","-"))</f>
        <v>x</v>
      </c>
      <c r="W532" s="29" t="str">
        <f t="shared" si="81"/>
        <v>Loại 3</v>
      </c>
      <c r="X532" s="25"/>
    </row>
    <row r="533" spans="1:24" ht="15.75" customHeight="1">
      <c r="A533" s="30">
        <f>_xlfn.AGGREGATE(4,7,A$6:A532)+1</f>
        <v>378</v>
      </c>
      <c r="B533" s="66" t="str">
        <f t="shared" si="80"/>
        <v>H. Chợ Đồn</v>
      </c>
      <c r="C533" s="31" t="str">
        <f t="shared" ref="C533:C541" si="99">C532</f>
        <v>X. Yên Thịnh</v>
      </c>
      <c r="D533" s="34"/>
      <c r="E533" s="34" t="s">
        <v>36</v>
      </c>
      <c r="F533" s="31" t="s">
        <v>619</v>
      </c>
      <c r="G533" s="34"/>
      <c r="H533" s="34" t="str">
        <f>IF(LEFT('PL1(Full)'!$F533,4)="Thôn","Thôn","Tổ")</f>
        <v>Thôn</v>
      </c>
      <c r="I533" s="36">
        <v>54</v>
      </c>
      <c r="J533" s="36">
        <v>250</v>
      </c>
      <c r="K533" s="36">
        <v>54</v>
      </c>
      <c r="L533" s="37">
        <f t="shared" si="0"/>
        <v>100</v>
      </c>
      <c r="M533" s="36">
        <v>7</v>
      </c>
      <c r="N533" s="38">
        <f t="shared" si="1"/>
        <v>12.962962962962964</v>
      </c>
      <c r="O533" s="36">
        <v>7</v>
      </c>
      <c r="P533" s="38">
        <f t="shared" si="2"/>
        <v>100</v>
      </c>
      <c r="Q533" s="88" t="s">
        <v>63</v>
      </c>
      <c r="R533" s="88" t="str">
        <f t="shared" si="3"/>
        <v>X</v>
      </c>
      <c r="S533" s="32"/>
      <c r="T533" s="34" t="str">
        <f>IF('PL1(Full)'!$N533&gt;=20,"x",IF(AND('PL1(Full)'!$N533&gt;=15,'PL1(Full)'!$P533&gt;60),"x",""))</f>
        <v/>
      </c>
      <c r="U533" s="34" t="str">
        <f>IF(AND('PL1(Full)'!$H533="Thôn",'PL1(Full)'!$I533&lt;75),"x",IF(AND('PL1(Full)'!$H533="Tổ",'PL1(Full)'!$I533&lt;100),"x","-"))</f>
        <v>x</v>
      </c>
      <c r="V533" s="34" t="str">
        <f>IF(AND('PL1(Full)'!$H533="Thôn",'PL1(Full)'!$I533&lt;140),"x",IF(AND('PL1(Full)'!$H533="Tổ",'PL1(Full)'!$I533&lt;210),"x","-"))</f>
        <v>x</v>
      </c>
      <c r="W533" s="40" t="str">
        <f t="shared" si="81"/>
        <v>Loại 3</v>
      </c>
      <c r="X533" s="34"/>
    </row>
    <row r="534" spans="1:24" ht="15.75" customHeight="1">
      <c r="A534" s="30">
        <f>_xlfn.AGGREGATE(4,7,A$6:A533)+1</f>
        <v>379</v>
      </c>
      <c r="B534" s="66" t="str">
        <f t="shared" si="80"/>
        <v>H. Chợ Đồn</v>
      </c>
      <c r="C534" s="31" t="str">
        <f t="shared" si="99"/>
        <v>X. Yên Thịnh</v>
      </c>
      <c r="D534" s="34"/>
      <c r="E534" s="34" t="s">
        <v>36</v>
      </c>
      <c r="F534" s="31" t="s">
        <v>620</v>
      </c>
      <c r="G534" s="34"/>
      <c r="H534" s="34" t="str">
        <f>IF(LEFT('PL1(Full)'!$F534,4)="Thôn","Thôn","Tổ")</f>
        <v>Thôn</v>
      </c>
      <c r="I534" s="36">
        <v>30</v>
      </c>
      <c r="J534" s="36">
        <v>119</v>
      </c>
      <c r="K534" s="36">
        <v>26</v>
      </c>
      <c r="L534" s="37">
        <f t="shared" si="0"/>
        <v>86.666666666666671</v>
      </c>
      <c r="M534" s="36">
        <v>2</v>
      </c>
      <c r="N534" s="38">
        <f t="shared" si="1"/>
        <v>6.666666666666667</v>
      </c>
      <c r="O534" s="36">
        <v>2</v>
      </c>
      <c r="P534" s="38">
        <f t="shared" si="2"/>
        <v>100</v>
      </c>
      <c r="Q534" s="88" t="s">
        <v>63</v>
      </c>
      <c r="R534" s="88" t="str">
        <f t="shared" si="3"/>
        <v>X</v>
      </c>
      <c r="S534" s="32"/>
      <c r="T534" s="34" t="str">
        <f>IF('PL1(Full)'!$N534&gt;=20,"x",IF(AND('PL1(Full)'!$N534&gt;=15,'PL1(Full)'!$P534&gt;60),"x",""))</f>
        <v/>
      </c>
      <c r="U534" s="34" t="str">
        <f>IF(AND('PL1(Full)'!$H534="Thôn",'PL1(Full)'!$I534&lt;75),"x",IF(AND('PL1(Full)'!$H534="Tổ",'PL1(Full)'!$I534&lt;100),"x","-"))</f>
        <v>x</v>
      </c>
      <c r="V534" s="34" t="str">
        <f>IF(AND('PL1(Full)'!$H534="Thôn",'PL1(Full)'!$I534&lt;140),"x",IF(AND('PL1(Full)'!$H534="Tổ",'PL1(Full)'!$I534&lt;210),"x","-"))</f>
        <v>x</v>
      </c>
      <c r="W534" s="40" t="str">
        <f t="shared" si="81"/>
        <v>Loại 3</v>
      </c>
      <c r="X534" s="34"/>
    </row>
    <row r="535" spans="1:24" ht="15.75" customHeight="1">
      <c r="A535" s="30">
        <f>_xlfn.AGGREGATE(4,7,A$6:A534)+1</f>
        <v>380</v>
      </c>
      <c r="B535" s="66" t="str">
        <f t="shared" si="80"/>
        <v>H. Chợ Đồn</v>
      </c>
      <c r="C535" s="31" t="str">
        <f t="shared" si="99"/>
        <v>X. Yên Thịnh</v>
      </c>
      <c r="D535" s="34"/>
      <c r="E535" s="34" t="s">
        <v>36</v>
      </c>
      <c r="F535" s="31" t="s">
        <v>621</v>
      </c>
      <c r="G535" s="34"/>
      <c r="H535" s="34" t="str">
        <f>IF(LEFT('PL1(Full)'!$F535,4)="Thôn","Thôn","Tổ")</f>
        <v>Thôn</v>
      </c>
      <c r="I535" s="36">
        <v>58</v>
      </c>
      <c r="J535" s="36">
        <v>219</v>
      </c>
      <c r="K535" s="36">
        <v>58</v>
      </c>
      <c r="L535" s="37">
        <f t="shared" si="0"/>
        <v>100</v>
      </c>
      <c r="M535" s="36">
        <v>5</v>
      </c>
      <c r="N535" s="38">
        <f t="shared" si="1"/>
        <v>8.6206896551724146</v>
      </c>
      <c r="O535" s="36">
        <v>5</v>
      </c>
      <c r="P535" s="38">
        <f t="shared" si="2"/>
        <v>100</v>
      </c>
      <c r="Q535" s="88" t="s">
        <v>63</v>
      </c>
      <c r="R535" s="88" t="str">
        <f t="shared" si="3"/>
        <v>X</v>
      </c>
      <c r="S535" s="32"/>
      <c r="T535" s="34" t="str">
        <f>IF('PL1(Full)'!$N535&gt;=20,"x",IF(AND('PL1(Full)'!$N535&gt;=15,'PL1(Full)'!$P535&gt;60),"x",""))</f>
        <v/>
      </c>
      <c r="U535" s="34" t="str">
        <f>IF(AND('PL1(Full)'!$H535="Thôn",'PL1(Full)'!$I535&lt;75),"x",IF(AND('PL1(Full)'!$H535="Tổ",'PL1(Full)'!$I535&lt;100),"x","-"))</f>
        <v>x</v>
      </c>
      <c r="V535" s="34" t="str">
        <f>IF(AND('PL1(Full)'!$H535="Thôn",'PL1(Full)'!$I535&lt;140),"x",IF(AND('PL1(Full)'!$H535="Tổ",'PL1(Full)'!$I535&lt;210),"x","-"))</f>
        <v>x</v>
      </c>
      <c r="W535" s="40" t="str">
        <f t="shared" si="81"/>
        <v>Loại 3</v>
      </c>
      <c r="X535" s="34"/>
    </row>
    <row r="536" spans="1:24" ht="15.75" customHeight="1">
      <c r="A536" s="30">
        <f>_xlfn.AGGREGATE(4,7,A$6:A535)+1</f>
        <v>381</v>
      </c>
      <c r="B536" s="66" t="str">
        <f t="shared" si="80"/>
        <v>H. Chợ Đồn</v>
      </c>
      <c r="C536" s="31" t="str">
        <f t="shared" si="99"/>
        <v>X. Yên Thịnh</v>
      </c>
      <c r="D536" s="34"/>
      <c r="E536" s="34" t="s">
        <v>36</v>
      </c>
      <c r="F536" s="31" t="s">
        <v>622</v>
      </c>
      <c r="G536" s="34"/>
      <c r="H536" s="34" t="str">
        <f>IF(LEFT('PL1(Full)'!$F536,4)="Thôn","Thôn","Tổ")</f>
        <v>Thôn</v>
      </c>
      <c r="I536" s="36">
        <v>38</v>
      </c>
      <c r="J536" s="36">
        <v>163</v>
      </c>
      <c r="K536" s="36">
        <v>33</v>
      </c>
      <c r="L536" s="37">
        <f t="shared" si="0"/>
        <v>86.84210526315789</v>
      </c>
      <c r="M536" s="36">
        <v>5</v>
      </c>
      <c r="N536" s="38">
        <f t="shared" si="1"/>
        <v>13.157894736842104</v>
      </c>
      <c r="O536" s="36">
        <v>5</v>
      </c>
      <c r="P536" s="38">
        <f t="shared" si="2"/>
        <v>100</v>
      </c>
      <c r="Q536" s="88" t="s">
        <v>63</v>
      </c>
      <c r="R536" s="88" t="str">
        <f t="shared" si="3"/>
        <v>X</v>
      </c>
      <c r="S536" s="32"/>
      <c r="T536" s="34" t="str">
        <f>IF('PL1(Full)'!$N536&gt;=20,"x",IF(AND('PL1(Full)'!$N536&gt;=15,'PL1(Full)'!$P536&gt;60),"x",""))</f>
        <v/>
      </c>
      <c r="U536" s="34" t="str">
        <f>IF(AND('PL1(Full)'!$H536="Thôn",'PL1(Full)'!$I536&lt;75),"x",IF(AND('PL1(Full)'!$H536="Tổ",'PL1(Full)'!$I536&lt;100),"x","-"))</f>
        <v>x</v>
      </c>
      <c r="V536" s="34" t="str">
        <f>IF(AND('PL1(Full)'!$H536="Thôn",'PL1(Full)'!$I536&lt;140),"x",IF(AND('PL1(Full)'!$H536="Tổ",'PL1(Full)'!$I536&lt;210),"x","-"))</f>
        <v>x</v>
      </c>
      <c r="W536" s="40" t="str">
        <f t="shared" si="81"/>
        <v>Loại 3</v>
      </c>
      <c r="X536" s="34"/>
    </row>
    <row r="537" spans="1:24" ht="15.75" customHeight="1">
      <c r="A537" s="30">
        <f>_xlfn.AGGREGATE(4,7,A$6:A536)+1</f>
        <v>382</v>
      </c>
      <c r="B537" s="66" t="str">
        <f t="shared" si="80"/>
        <v>H. Chợ Đồn</v>
      </c>
      <c r="C537" s="31" t="str">
        <f t="shared" si="99"/>
        <v>X. Yên Thịnh</v>
      </c>
      <c r="D537" s="34"/>
      <c r="E537" s="34" t="s">
        <v>36</v>
      </c>
      <c r="F537" s="31" t="s">
        <v>623</v>
      </c>
      <c r="G537" s="34"/>
      <c r="H537" s="34" t="str">
        <f>IF(LEFT('PL1(Full)'!$F537,4)="Thôn","Thôn","Tổ")</f>
        <v>Thôn</v>
      </c>
      <c r="I537" s="36">
        <v>49</v>
      </c>
      <c r="J537" s="36">
        <v>209</v>
      </c>
      <c r="K537" s="36">
        <v>49</v>
      </c>
      <c r="L537" s="37">
        <f t="shared" si="0"/>
        <v>100</v>
      </c>
      <c r="M537" s="36">
        <v>9</v>
      </c>
      <c r="N537" s="38">
        <f t="shared" si="1"/>
        <v>18.367346938775512</v>
      </c>
      <c r="O537" s="36">
        <v>9</v>
      </c>
      <c r="P537" s="38">
        <f t="shared" si="2"/>
        <v>100</v>
      </c>
      <c r="Q537" s="88" t="s">
        <v>63</v>
      </c>
      <c r="R537" s="88" t="str">
        <f t="shared" si="3"/>
        <v>X</v>
      </c>
      <c r="S537" s="32" t="s">
        <v>60</v>
      </c>
      <c r="T537" s="34" t="str">
        <f>IF('PL1(Full)'!$N537&gt;=20,"x",IF(AND('PL1(Full)'!$N537&gt;=15,'PL1(Full)'!$P537&gt;60),"x",""))</f>
        <v>x</v>
      </c>
      <c r="U537" s="34" t="str">
        <f>IF(AND('PL1(Full)'!$H537="Thôn",'PL1(Full)'!$I537&lt;75),"x",IF(AND('PL1(Full)'!$H537="Tổ",'PL1(Full)'!$I537&lt;100),"x","-"))</f>
        <v>x</v>
      </c>
      <c r="V537" s="34" t="str">
        <f>IF(AND('PL1(Full)'!$H537="Thôn",'PL1(Full)'!$I537&lt;140),"x",IF(AND('PL1(Full)'!$H537="Tổ",'PL1(Full)'!$I537&lt;210),"x","-"))</f>
        <v>x</v>
      </c>
      <c r="W537" s="40" t="str">
        <f t="shared" si="81"/>
        <v>Loại 3</v>
      </c>
      <c r="X537" s="34"/>
    </row>
    <row r="538" spans="1:24" ht="15.75" customHeight="1">
      <c r="A538" s="30">
        <f>_xlfn.AGGREGATE(4,7,A$6:A537)+1</f>
        <v>383</v>
      </c>
      <c r="B538" s="66" t="str">
        <f t="shared" si="80"/>
        <v>H. Chợ Đồn</v>
      </c>
      <c r="C538" s="31" t="str">
        <f t="shared" si="99"/>
        <v>X. Yên Thịnh</v>
      </c>
      <c r="D538" s="34"/>
      <c r="E538" s="34" t="s">
        <v>36</v>
      </c>
      <c r="F538" s="31" t="s">
        <v>134</v>
      </c>
      <c r="G538" s="34"/>
      <c r="H538" s="34" t="str">
        <f>IF(LEFT('PL1(Full)'!$F538,4)="Thôn","Thôn","Tổ")</f>
        <v>Thôn</v>
      </c>
      <c r="I538" s="36">
        <v>56</v>
      </c>
      <c r="J538" s="36">
        <v>229</v>
      </c>
      <c r="K538" s="36">
        <v>56</v>
      </c>
      <c r="L538" s="37">
        <f t="shared" si="0"/>
        <v>100</v>
      </c>
      <c r="M538" s="36">
        <v>2</v>
      </c>
      <c r="N538" s="38">
        <f t="shared" si="1"/>
        <v>3.5714285714285716</v>
      </c>
      <c r="O538" s="36">
        <v>2</v>
      </c>
      <c r="P538" s="38">
        <f t="shared" si="2"/>
        <v>100</v>
      </c>
      <c r="Q538" s="88" t="s">
        <v>63</v>
      </c>
      <c r="R538" s="88" t="str">
        <f t="shared" si="3"/>
        <v>X</v>
      </c>
      <c r="S538" s="32"/>
      <c r="T538" s="34" t="str">
        <f>IF('PL1(Full)'!$N538&gt;=20,"x",IF(AND('PL1(Full)'!$N538&gt;=15,'PL1(Full)'!$P538&gt;60),"x",""))</f>
        <v/>
      </c>
      <c r="U538" s="34" t="str">
        <f>IF(AND('PL1(Full)'!$H538="Thôn",'PL1(Full)'!$I538&lt;75),"x",IF(AND('PL1(Full)'!$H538="Tổ",'PL1(Full)'!$I538&lt;100),"x","-"))</f>
        <v>x</v>
      </c>
      <c r="V538" s="34" t="str">
        <f>IF(AND('PL1(Full)'!$H538="Thôn",'PL1(Full)'!$I538&lt;140),"x",IF(AND('PL1(Full)'!$H538="Tổ",'PL1(Full)'!$I538&lt;210),"x","-"))</f>
        <v>x</v>
      </c>
      <c r="W538" s="40" t="str">
        <f t="shared" si="81"/>
        <v>Loại 3</v>
      </c>
      <c r="X538" s="34"/>
    </row>
    <row r="539" spans="1:24" ht="15.75" customHeight="1">
      <c r="A539" s="30">
        <f>_xlfn.AGGREGATE(4,7,A$6:A538)+1</f>
        <v>384</v>
      </c>
      <c r="B539" s="66" t="str">
        <f t="shared" si="80"/>
        <v>H. Chợ Đồn</v>
      </c>
      <c r="C539" s="31" t="str">
        <f t="shared" si="99"/>
        <v>X. Yên Thịnh</v>
      </c>
      <c r="D539" s="34"/>
      <c r="E539" s="34" t="s">
        <v>36</v>
      </c>
      <c r="F539" s="31" t="s">
        <v>624</v>
      </c>
      <c r="G539" s="34"/>
      <c r="H539" s="34" t="str">
        <f>IF(LEFT('PL1(Full)'!$F539,4)="Thôn","Thôn","Tổ")</f>
        <v>Thôn</v>
      </c>
      <c r="I539" s="36">
        <v>41</v>
      </c>
      <c r="J539" s="36">
        <v>143</v>
      </c>
      <c r="K539" s="36">
        <v>37</v>
      </c>
      <c r="L539" s="37">
        <f t="shared" si="0"/>
        <v>90.243902439024396</v>
      </c>
      <c r="M539" s="36">
        <v>0</v>
      </c>
      <c r="N539" s="38">
        <f t="shared" si="1"/>
        <v>0</v>
      </c>
      <c r="O539" s="36">
        <v>0</v>
      </c>
      <c r="P539" s="38">
        <f t="shared" si="2"/>
        <v>0</v>
      </c>
      <c r="Q539" s="88" t="s">
        <v>63</v>
      </c>
      <c r="R539" s="88" t="str">
        <f t="shared" si="3"/>
        <v>X</v>
      </c>
      <c r="S539" s="32"/>
      <c r="T539" s="34"/>
      <c r="U539" s="34" t="str">
        <f>IF(AND('PL1(Full)'!$H539="Thôn",'PL1(Full)'!$I539&lt;75),"x",IF(AND('PL1(Full)'!$H539="Tổ",'PL1(Full)'!$I539&lt;100),"x","-"))</f>
        <v>x</v>
      </c>
      <c r="V539" s="34" t="str">
        <f>IF(AND('PL1(Full)'!$H539="Thôn",'PL1(Full)'!$I539&lt;140),"x",IF(AND('PL1(Full)'!$H539="Tổ",'PL1(Full)'!$I539&lt;210),"x","-"))</f>
        <v>x</v>
      </c>
      <c r="W539" s="40" t="str">
        <f t="shared" si="81"/>
        <v>Loại 3</v>
      </c>
      <c r="X539" s="34"/>
    </row>
    <row r="540" spans="1:24" ht="15.75" customHeight="1">
      <c r="A540" s="30">
        <f>_xlfn.AGGREGATE(4,7,A$6:A539)+1</f>
        <v>385</v>
      </c>
      <c r="B540" s="66" t="str">
        <f t="shared" si="80"/>
        <v>H. Chợ Đồn</v>
      </c>
      <c r="C540" s="31" t="str">
        <f t="shared" si="99"/>
        <v>X. Yên Thịnh</v>
      </c>
      <c r="D540" s="34"/>
      <c r="E540" s="34" t="s">
        <v>36</v>
      </c>
      <c r="F540" s="31" t="s">
        <v>625</v>
      </c>
      <c r="G540" s="34"/>
      <c r="H540" s="34" t="str">
        <f>IF(LEFT('PL1(Full)'!$F540,4)="Thôn","Thôn","Tổ")</f>
        <v>Thôn</v>
      </c>
      <c r="I540" s="36">
        <v>59</v>
      </c>
      <c r="J540" s="36">
        <v>223</v>
      </c>
      <c r="K540" s="36">
        <v>59</v>
      </c>
      <c r="L540" s="37">
        <f t="shared" si="0"/>
        <v>100</v>
      </c>
      <c r="M540" s="36">
        <v>7</v>
      </c>
      <c r="N540" s="38">
        <f t="shared" si="1"/>
        <v>11.864406779661017</v>
      </c>
      <c r="O540" s="36">
        <v>7</v>
      </c>
      <c r="P540" s="38">
        <f t="shared" si="2"/>
        <v>100</v>
      </c>
      <c r="Q540" s="88" t="s">
        <v>63</v>
      </c>
      <c r="R540" s="88" t="str">
        <f t="shared" si="3"/>
        <v>X</v>
      </c>
      <c r="S540" s="32"/>
      <c r="T540" s="34" t="str">
        <f>IF('PL1(Full)'!$N540&gt;=20,"x",IF(AND('PL1(Full)'!$N540&gt;=15,'PL1(Full)'!$P540&gt;60),"x",""))</f>
        <v/>
      </c>
      <c r="U540" s="34" t="str">
        <f>IF(AND('PL1(Full)'!$H540="Thôn",'PL1(Full)'!$I540&lt;75),"x",IF(AND('PL1(Full)'!$H540="Tổ",'PL1(Full)'!$I540&lt;100),"x","-"))</f>
        <v>x</v>
      </c>
      <c r="V540" s="34" t="str">
        <f>IF(AND('PL1(Full)'!$H540="Thôn",'PL1(Full)'!$I540&lt;140),"x",IF(AND('PL1(Full)'!$H540="Tổ",'PL1(Full)'!$I540&lt;210),"x","-"))</f>
        <v>x</v>
      </c>
      <c r="W540" s="40" t="str">
        <f t="shared" si="81"/>
        <v>Loại 3</v>
      </c>
      <c r="X540" s="34"/>
    </row>
    <row r="541" spans="1:24" ht="15.75" customHeight="1">
      <c r="A541" s="41">
        <f>_xlfn.AGGREGATE(4,7,A$6:A540)+1</f>
        <v>386</v>
      </c>
      <c r="B541" s="67" t="str">
        <f t="shared" si="80"/>
        <v>H. Chợ Đồn</v>
      </c>
      <c r="C541" s="42" t="str">
        <f t="shared" si="99"/>
        <v>X. Yên Thịnh</v>
      </c>
      <c r="D541" s="50"/>
      <c r="E541" s="50" t="s">
        <v>36</v>
      </c>
      <c r="F541" s="42" t="s">
        <v>626</v>
      </c>
      <c r="G541" s="50"/>
      <c r="H541" s="50" t="str">
        <f>IF(LEFT('PL1(Full)'!$F541,4)="Thôn","Thôn","Tổ")</f>
        <v>Thôn</v>
      </c>
      <c r="I541" s="46">
        <v>27</v>
      </c>
      <c r="J541" s="46">
        <v>112</v>
      </c>
      <c r="K541" s="46">
        <v>10</v>
      </c>
      <c r="L541" s="47">
        <f t="shared" si="0"/>
        <v>37.037037037037038</v>
      </c>
      <c r="M541" s="46">
        <v>1</v>
      </c>
      <c r="N541" s="48">
        <f t="shared" si="1"/>
        <v>3.7037037037037037</v>
      </c>
      <c r="O541" s="46">
        <v>0</v>
      </c>
      <c r="P541" s="48">
        <f t="shared" si="2"/>
        <v>0</v>
      </c>
      <c r="Q541" s="88" t="s">
        <v>63</v>
      </c>
      <c r="R541" s="100" t="str">
        <f t="shared" si="3"/>
        <v>X</v>
      </c>
      <c r="S541" s="43"/>
      <c r="T541" s="50" t="str">
        <f>IF('PL1(Full)'!$N541&gt;=20,"x",IF(AND('PL1(Full)'!$N541&gt;=15,'PL1(Full)'!$P541&gt;60),"x",""))</f>
        <v/>
      </c>
      <c r="U541" s="50" t="str">
        <f>IF(AND('PL1(Full)'!$H541="Thôn",'PL1(Full)'!$I541&lt;75),"x",IF(AND('PL1(Full)'!$H541="Tổ",'PL1(Full)'!$I541&lt;100),"x","-"))</f>
        <v>x</v>
      </c>
      <c r="V541" s="34" t="str">
        <f>IF(AND('PL1(Full)'!$H541="Thôn",'PL1(Full)'!$I541&lt;140),"x",IF(AND('PL1(Full)'!$H541="Tổ",'PL1(Full)'!$I541&lt;210),"x","-"))</f>
        <v>x</v>
      </c>
      <c r="W541" s="51" t="str">
        <f t="shared" si="81"/>
        <v>Loại 3</v>
      </c>
      <c r="X541" s="50"/>
    </row>
    <row r="542" spans="1:24" ht="15.75" customHeight="1">
      <c r="A542" s="52">
        <f>_xlfn.AGGREGATE(4,7,A$6:A541)+1</f>
        <v>387</v>
      </c>
      <c r="B542" s="65" t="str">
        <f t="shared" si="80"/>
        <v>H. Chợ Đồn</v>
      </c>
      <c r="C542" s="14" t="s">
        <v>627</v>
      </c>
      <c r="D542" s="25" t="s">
        <v>36</v>
      </c>
      <c r="E542" s="25" t="s">
        <v>36</v>
      </c>
      <c r="F542" s="14" t="s">
        <v>628</v>
      </c>
      <c r="G542" s="25"/>
      <c r="H542" s="25" t="str">
        <f>IF(LEFT('PL1(Full)'!$F542,4)="Thôn","Thôn","Tổ")</f>
        <v>Thôn</v>
      </c>
      <c r="I542" s="20">
        <v>35</v>
      </c>
      <c r="J542" s="20">
        <v>142</v>
      </c>
      <c r="K542" s="20">
        <v>33</v>
      </c>
      <c r="L542" s="21">
        <f t="shared" si="0"/>
        <v>94.285714285714292</v>
      </c>
      <c r="M542" s="20">
        <v>1</v>
      </c>
      <c r="N542" s="22">
        <f t="shared" si="1"/>
        <v>2.8571428571428572</v>
      </c>
      <c r="O542" s="20">
        <v>4</v>
      </c>
      <c r="P542" s="22">
        <f t="shared" si="2"/>
        <v>400</v>
      </c>
      <c r="Q542" s="87" t="s">
        <v>63</v>
      </c>
      <c r="R542" s="87" t="str">
        <f t="shared" si="3"/>
        <v>X</v>
      </c>
      <c r="S542" s="18"/>
      <c r="T542" s="26" t="str">
        <f>IF('PL1(Full)'!$N542&gt;=20,"x",IF(AND('PL1(Full)'!$N542&gt;=15,'PL1(Full)'!$P542&gt;60),"x",""))</f>
        <v/>
      </c>
      <c r="U542" s="27" t="str">
        <f>IF(AND('PL1(Full)'!$H542="Thôn",'PL1(Full)'!$I542&lt;75),"x",IF(AND('PL1(Full)'!$H542="Tổ",'PL1(Full)'!$I542&lt;100),"x","-"))</f>
        <v>x</v>
      </c>
      <c r="V542" s="28" t="str">
        <f>IF(AND('PL1(Full)'!$H542="Thôn",'PL1(Full)'!$I542&lt;140),"x",IF(AND('PL1(Full)'!$H542="Tổ",'PL1(Full)'!$I542&lt;210),"x","-"))</f>
        <v>x</v>
      </c>
      <c r="W542" s="29" t="str">
        <f t="shared" si="81"/>
        <v>Loại 3</v>
      </c>
      <c r="X542" s="25"/>
    </row>
    <row r="543" spans="1:24" ht="15.75" customHeight="1">
      <c r="A543" s="30">
        <f>_xlfn.AGGREGATE(4,7,A$6:A542)+1</f>
        <v>388</v>
      </c>
      <c r="B543" s="66" t="str">
        <f t="shared" si="80"/>
        <v>H. Chợ Đồn</v>
      </c>
      <c r="C543" s="31" t="str">
        <f t="shared" ref="C543:C551" si="100">C542</f>
        <v>X. Yên Thượng</v>
      </c>
      <c r="D543" s="34"/>
      <c r="E543" s="34" t="s">
        <v>36</v>
      </c>
      <c r="F543" s="31" t="s">
        <v>629</v>
      </c>
      <c r="G543" s="34"/>
      <c r="H543" s="34" t="str">
        <f>IF(LEFT('PL1(Full)'!$F543,4)="Thôn","Thôn","Tổ")</f>
        <v>Thôn</v>
      </c>
      <c r="I543" s="36">
        <v>14</v>
      </c>
      <c r="J543" s="36">
        <v>62</v>
      </c>
      <c r="K543" s="36">
        <v>13</v>
      </c>
      <c r="L543" s="37">
        <f t="shared" si="0"/>
        <v>92.857142857142861</v>
      </c>
      <c r="M543" s="36">
        <v>0</v>
      </c>
      <c r="N543" s="38">
        <f t="shared" si="1"/>
        <v>0</v>
      </c>
      <c r="O543" s="36">
        <v>2</v>
      </c>
      <c r="P543" s="38">
        <f t="shared" si="2"/>
        <v>0</v>
      </c>
      <c r="Q543" s="88" t="s">
        <v>63</v>
      </c>
      <c r="R543" s="88" t="str">
        <f t="shared" si="3"/>
        <v>X</v>
      </c>
      <c r="S543" s="32"/>
      <c r="T543" s="34" t="str">
        <f>IF('PL1(Full)'!$N543&gt;=20,"x",IF(AND('PL1(Full)'!$N543&gt;=15,'PL1(Full)'!$P543&gt;60),"x",""))</f>
        <v/>
      </c>
      <c r="U543" s="34" t="str">
        <f>IF(AND('PL1(Full)'!$H543="Thôn",'PL1(Full)'!$I543&lt;75),"x",IF(AND('PL1(Full)'!$H543="Tổ",'PL1(Full)'!$I543&lt;100),"x","-"))</f>
        <v>x</v>
      </c>
      <c r="V543" s="34" t="str">
        <f>IF(AND('PL1(Full)'!$H543="Thôn",'PL1(Full)'!$I543&lt;140),"x",IF(AND('PL1(Full)'!$H543="Tổ",'PL1(Full)'!$I543&lt;210),"x","-"))</f>
        <v>x</v>
      </c>
      <c r="W543" s="40" t="str">
        <f t="shared" si="81"/>
        <v>Loại 3</v>
      </c>
      <c r="X543" s="34"/>
    </row>
    <row r="544" spans="1:24" ht="15.75" customHeight="1">
      <c r="A544" s="30">
        <f>_xlfn.AGGREGATE(4,7,A$6:A543)+1</f>
        <v>389</v>
      </c>
      <c r="B544" s="66" t="str">
        <f t="shared" si="80"/>
        <v>H. Chợ Đồn</v>
      </c>
      <c r="C544" s="31" t="str">
        <f t="shared" si="100"/>
        <v>X. Yên Thượng</v>
      </c>
      <c r="D544" s="34"/>
      <c r="E544" s="34" t="s">
        <v>36</v>
      </c>
      <c r="F544" s="31" t="s">
        <v>630</v>
      </c>
      <c r="G544" s="34"/>
      <c r="H544" s="34" t="str">
        <f>IF(LEFT('PL1(Full)'!$F544,4)="Thôn","Thôn","Tổ")</f>
        <v>Thôn</v>
      </c>
      <c r="I544" s="36">
        <v>45</v>
      </c>
      <c r="J544" s="36">
        <v>186</v>
      </c>
      <c r="K544" s="36">
        <v>45</v>
      </c>
      <c r="L544" s="37">
        <f t="shared" si="0"/>
        <v>100</v>
      </c>
      <c r="M544" s="36">
        <v>1</v>
      </c>
      <c r="N544" s="38">
        <f t="shared" si="1"/>
        <v>2.2222222222222223</v>
      </c>
      <c r="O544" s="36">
        <v>2</v>
      </c>
      <c r="P544" s="38">
        <f t="shared" si="2"/>
        <v>200</v>
      </c>
      <c r="Q544" s="88" t="s">
        <v>63</v>
      </c>
      <c r="R544" s="88" t="str">
        <f t="shared" si="3"/>
        <v>X</v>
      </c>
      <c r="S544" s="32"/>
      <c r="T544" s="34" t="str">
        <f>IF('PL1(Full)'!$N544&gt;=20,"x",IF(AND('PL1(Full)'!$N544&gt;=15,'PL1(Full)'!$P544&gt;60),"x",""))</f>
        <v/>
      </c>
      <c r="U544" s="34" t="str">
        <f>IF(AND('PL1(Full)'!$H544="Thôn",'PL1(Full)'!$I544&lt;75),"x",IF(AND('PL1(Full)'!$H544="Tổ",'PL1(Full)'!$I544&lt;100),"x","-"))</f>
        <v>x</v>
      </c>
      <c r="V544" s="34" t="str">
        <f>IF(AND('PL1(Full)'!$H544="Thôn",'PL1(Full)'!$I544&lt;140),"x",IF(AND('PL1(Full)'!$H544="Tổ",'PL1(Full)'!$I544&lt;210),"x","-"))</f>
        <v>x</v>
      </c>
      <c r="W544" s="40" t="str">
        <f t="shared" si="81"/>
        <v>Loại 3</v>
      </c>
      <c r="X544" s="34"/>
    </row>
    <row r="545" spans="1:24" ht="15.75" customHeight="1">
      <c r="A545" s="30">
        <f>_xlfn.AGGREGATE(4,7,A$6:A544)+1</f>
        <v>390</v>
      </c>
      <c r="B545" s="66" t="str">
        <f t="shared" si="80"/>
        <v>H. Chợ Đồn</v>
      </c>
      <c r="C545" s="31" t="str">
        <f t="shared" si="100"/>
        <v>X. Yên Thượng</v>
      </c>
      <c r="D545" s="34"/>
      <c r="E545" s="34" t="s">
        <v>36</v>
      </c>
      <c r="F545" s="31" t="s">
        <v>119</v>
      </c>
      <c r="G545" s="34"/>
      <c r="H545" s="34" t="str">
        <f>IF(LEFT('PL1(Full)'!$F545,4)="Thôn","Thôn","Tổ")</f>
        <v>Thôn</v>
      </c>
      <c r="I545" s="36">
        <v>36</v>
      </c>
      <c r="J545" s="36">
        <v>146</v>
      </c>
      <c r="K545" s="36">
        <v>36</v>
      </c>
      <c r="L545" s="37">
        <f t="shared" si="0"/>
        <v>100</v>
      </c>
      <c r="M545" s="36">
        <v>1</v>
      </c>
      <c r="N545" s="38">
        <f t="shared" si="1"/>
        <v>2.7777777777777777</v>
      </c>
      <c r="O545" s="36">
        <v>2</v>
      </c>
      <c r="P545" s="38">
        <f t="shared" si="2"/>
        <v>200</v>
      </c>
      <c r="Q545" s="88" t="s">
        <v>63</v>
      </c>
      <c r="R545" s="88" t="str">
        <f t="shared" si="3"/>
        <v>X</v>
      </c>
      <c r="S545" s="32"/>
      <c r="T545" s="34" t="str">
        <f>IF('PL1(Full)'!$N545&gt;=20,"x",IF(AND('PL1(Full)'!$N545&gt;=15,'PL1(Full)'!$P545&gt;60),"x",""))</f>
        <v/>
      </c>
      <c r="U545" s="34" t="str">
        <f>IF(AND('PL1(Full)'!$H545="Thôn",'PL1(Full)'!$I545&lt;75),"x",IF(AND('PL1(Full)'!$H545="Tổ",'PL1(Full)'!$I545&lt;100),"x","-"))</f>
        <v>x</v>
      </c>
      <c r="V545" s="34" t="str">
        <f>IF(AND('PL1(Full)'!$H545="Thôn",'PL1(Full)'!$I545&lt;140),"x",IF(AND('PL1(Full)'!$H545="Tổ",'PL1(Full)'!$I545&lt;210),"x","-"))</f>
        <v>x</v>
      </c>
      <c r="W545" s="40" t="str">
        <f t="shared" si="81"/>
        <v>Loại 3</v>
      </c>
      <c r="X545" s="34"/>
    </row>
    <row r="546" spans="1:24" ht="15.75" customHeight="1">
      <c r="A546" s="30">
        <f>_xlfn.AGGREGATE(4,7,A$6:A545)+1</f>
        <v>391</v>
      </c>
      <c r="B546" s="66" t="str">
        <f t="shared" si="80"/>
        <v>H. Chợ Đồn</v>
      </c>
      <c r="C546" s="31" t="str">
        <f t="shared" si="100"/>
        <v>X. Yên Thượng</v>
      </c>
      <c r="D546" s="34"/>
      <c r="E546" s="34" t="s">
        <v>36</v>
      </c>
      <c r="F546" s="31" t="s">
        <v>631</v>
      </c>
      <c r="G546" s="34"/>
      <c r="H546" s="34" t="str">
        <f>IF(LEFT('PL1(Full)'!$F546,4)="Thôn","Thôn","Tổ")</f>
        <v>Thôn</v>
      </c>
      <c r="I546" s="36">
        <v>36</v>
      </c>
      <c r="J546" s="36">
        <v>147</v>
      </c>
      <c r="K546" s="36">
        <v>36</v>
      </c>
      <c r="L546" s="37">
        <f t="shared" si="0"/>
        <v>100</v>
      </c>
      <c r="M546" s="36">
        <v>2</v>
      </c>
      <c r="N546" s="38">
        <f t="shared" si="1"/>
        <v>5.5555555555555554</v>
      </c>
      <c r="O546" s="36">
        <v>7</v>
      </c>
      <c r="P546" s="38">
        <f t="shared" si="2"/>
        <v>350</v>
      </c>
      <c r="Q546" s="88" t="s">
        <v>63</v>
      </c>
      <c r="R546" s="88" t="str">
        <f t="shared" si="3"/>
        <v>X</v>
      </c>
      <c r="S546" s="32"/>
      <c r="T546" s="34" t="str">
        <f>IF('PL1(Full)'!$N546&gt;=20,"x",IF(AND('PL1(Full)'!$N546&gt;=15,'PL1(Full)'!$P546&gt;60),"x",""))</f>
        <v/>
      </c>
      <c r="U546" s="34" t="str">
        <f>IF(AND('PL1(Full)'!$H546="Thôn",'PL1(Full)'!$I546&lt;75),"x",IF(AND('PL1(Full)'!$H546="Tổ",'PL1(Full)'!$I546&lt;100),"x","-"))</f>
        <v>x</v>
      </c>
      <c r="V546" s="34" t="str">
        <f>IF(AND('PL1(Full)'!$H546="Thôn",'PL1(Full)'!$I546&lt;140),"x",IF(AND('PL1(Full)'!$H546="Tổ",'PL1(Full)'!$I546&lt;210),"x","-"))</f>
        <v>x</v>
      </c>
      <c r="W546" s="40" t="str">
        <f t="shared" si="81"/>
        <v>Loại 3</v>
      </c>
      <c r="X546" s="34"/>
    </row>
    <row r="547" spans="1:24" ht="15.75" customHeight="1">
      <c r="A547" s="30">
        <f>_xlfn.AGGREGATE(4,7,A$6:A546)+1</f>
        <v>392</v>
      </c>
      <c r="B547" s="66" t="str">
        <f t="shared" si="80"/>
        <v>H. Chợ Đồn</v>
      </c>
      <c r="C547" s="31" t="str">
        <f t="shared" si="100"/>
        <v>X. Yên Thượng</v>
      </c>
      <c r="D547" s="34"/>
      <c r="E547" s="34" t="s">
        <v>36</v>
      </c>
      <c r="F547" s="31" t="s">
        <v>632</v>
      </c>
      <c r="G547" s="34"/>
      <c r="H547" s="34" t="str">
        <f>IF(LEFT('PL1(Full)'!$F547,4)="Thôn","Thôn","Tổ")</f>
        <v>Thôn</v>
      </c>
      <c r="I547" s="36">
        <v>38</v>
      </c>
      <c r="J547" s="36">
        <v>146</v>
      </c>
      <c r="K547" s="36">
        <v>38</v>
      </c>
      <c r="L547" s="37">
        <f t="shared" si="0"/>
        <v>100</v>
      </c>
      <c r="M547" s="36">
        <v>2</v>
      </c>
      <c r="N547" s="38">
        <f t="shared" si="1"/>
        <v>5.2631578947368425</v>
      </c>
      <c r="O547" s="36">
        <v>3</v>
      </c>
      <c r="P547" s="38">
        <f t="shared" si="2"/>
        <v>150</v>
      </c>
      <c r="Q547" s="88" t="s">
        <v>63</v>
      </c>
      <c r="R547" s="88" t="str">
        <f t="shared" si="3"/>
        <v>X</v>
      </c>
      <c r="S547" s="32"/>
      <c r="T547" s="34" t="str">
        <f>IF('PL1(Full)'!$N547&gt;=20,"x",IF(AND('PL1(Full)'!$N547&gt;=15,'PL1(Full)'!$P547&gt;60),"x",""))</f>
        <v/>
      </c>
      <c r="U547" s="34" t="str">
        <f>IF(AND('PL1(Full)'!$H547="Thôn",'PL1(Full)'!$I547&lt;75),"x",IF(AND('PL1(Full)'!$H547="Tổ",'PL1(Full)'!$I547&lt;100),"x","-"))</f>
        <v>x</v>
      </c>
      <c r="V547" s="34" t="str">
        <f>IF(AND('PL1(Full)'!$H547="Thôn",'PL1(Full)'!$I547&lt;140),"x",IF(AND('PL1(Full)'!$H547="Tổ",'PL1(Full)'!$I547&lt;210),"x","-"))</f>
        <v>x</v>
      </c>
      <c r="W547" s="40" t="str">
        <f t="shared" si="81"/>
        <v>Loại 3</v>
      </c>
      <c r="X547" s="34"/>
    </row>
    <row r="548" spans="1:24" ht="15.75" customHeight="1">
      <c r="A548" s="30">
        <f>_xlfn.AGGREGATE(4,7,A$6:A547)+1</f>
        <v>393</v>
      </c>
      <c r="B548" s="66" t="str">
        <f t="shared" si="80"/>
        <v>H. Chợ Đồn</v>
      </c>
      <c r="C548" s="31" t="str">
        <f t="shared" si="100"/>
        <v>X. Yên Thượng</v>
      </c>
      <c r="D548" s="34"/>
      <c r="E548" s="34" t="s">
        <v>36</v>
      </c>
      <c r="F548" s="31" t="s">
        <v>633</v>
      </c>
      <c r="G548" s="34"/>
      <c r="H548" s="34" t="str">
        <f>IF(LEFT('PL1(Full)'!$F548,4)="Thôn","Thôn","Tổ")</f>
        <v>Thôn</v>
      </c>
      <c r="I548" s="36">
        <v>35</v>
      </c>
      <c r="J548" s="36">
        <v>138</v>
      </c>
      <c r="K548" s="36">
        <v>32</v>
      </c>
      <c r="L548" s="37">
        <f t="shared" si="0"/>
        <v>91.428571428571431</v>
      </c>
      <c r="M548" s="36">
        <v>4</v>
      </c>
      <c r="N548" s="38">
        <f t="shared" si="1"/>
        <v>11.428571428571429</v>
      </c>
      <c r="O548" s="36">
        <v>4</v>
      </c>
      <c r="P548" s="38">
        <f t="shared" si="2"/>
        <v>100</v>
      </c>
      <c r="Q548" s="88" t="s">
        <v>63</v>
      </c>
      <c r="R548" s="88" t="str">
        <f t="shared" si="3"/>
        <v>X</v>
      </c>
      <c r="S548" s="32"/>
      <c r="T548" s="34" t="str">
        <f>IF('PL1(Full)'!$N548&gt;=20,"x",IF(AND('PL1(Full)'!$N548&gt;=15,'PL1(Full)'!$P548&gt;60),"x",""))</f>
        <v/>
      </c>
      <c r="U548" s="34" t="str">
        <f>IF(AND('PL1(Full)'!$H548="Thôn",'PL1(Full)'!$I548&lt;75),"x",IF(AND('PL1(Full)'!$H548="Tổ",'PL1(Full)'!$I548&lt;100),"x","-"))</f>
        <v>x</v>
      </c>
      <c r="V548" s="34" t="str">
        <f>IF(AND('PL1(Full)'!$H548="Thôn",'PL1(Full)'!$I548&lt;140),"x",IF(AND('PL1(Full)'!$H548="Tổ",'PL1(Full)'!$I548&lt;210),"x","-"))</f>
        <v>x</v>
      </c>
      <c r="W548" s="40" t="str">
        <f t="shared" si="81"/>
        <v>Loại 3</v>
      </c>
      <c r="X548" s="34"/>
    </row>
    <row r="549" spans="1:24" ht="15.75" customHeight="1">
      <c r="A549" s="30">
        <f>_xlfn.AGGREGATE(4,7,A$6:A548)+1</f>
        <v>394</v>
      </c>
      <c r="B549" s="66" t="str">
        <f t="shared" si="80"/>
        <v>H. Chợ Đồn</v>
      </c>
      <c r="C549" s="31" t="str">
        <f t="shared" si="100"/>
        <v>X. Yên Thượng</v>
      </c>
      <c r="D549" s="34"/>
      <c r="E549" s="34" t="s">
        <v>36</v>
      </c>
      <c r="F549" s="31" t="s">
        <v>634</v>
      </c>
      <c r="G549" s="34"/>
      <c r="H549" s="34" t="str">
        <f>IF(LEFT('PL1(Full)'!$F549,4)="Thôn","Thôn","Tổ")</f>
        <v>Thôn</v>
      </c>
      <c r="I549" s="36">
        <v>24</v>
      </c>
      <c r="J549" s="36">
        <v>103</v>
      </c>
      <c r="K549" s="36">
        <v>24</v>
      </c>
      <c r="L549" s="37">
        <f t="shared" si="0"/>
        <v>100</v>
      </c>
      <c r="M549" s="36">
        <v>0</v>
      </c>
      <c r="N549" s="38">
        <f t="shared" si="1"/>
        <v>0</v>
      </c>
      <c r="O549" s="36">
        <v>0</v>
      </c>
      <c r="P549" s="38">
        <f t="shared" si="2"/>
        <v>0</v>
      </c>
      <c r="Q549" s="88" t="s">
        <v>63</v>
      </c>
      <c r="R549" s="88" t="str">
        <f t="shared" si="3"/>
        <v>X</v>
      </c>
      <c r="S549" s="32"/>
      <c r="T549" s="34"/>
      <c r="U549" s="34" t="str">
        <f>IF(AND('PL1(Full)'!$H549="Thôn",'PL1(Full)'!$I549&lt;75),"x",IF(AND('PL1(Full)'!$H549="Tổ",'PL1(Full)'!$I549&lt;100),"x","-"))</f>
        <v>x</v>
      </c>
      <c r="V549" s="34" t="str">
        <f>IF(AND('PL1(Full)'!$H549="Thôn",'PL1(Full)'!$I549&lt;140),"x",IF(AND('PL1(Full)'!$H549="Tổ",'PL1(Full)'!$I549&lt;210),"x","-"))</f>
        <v>x</v>
      </c>
      <c r="W549" s="40" t="str">
        <f t="shared" si="81"/>
        <v>Loại 3</v>
      </c>
      <c r="X549" s="34"/>
    </row>
    <row r="550" spans="1:24" ht="15.75" customHeight="1">
      <c r="A550" s="30">
        <f>_xlfn.AGGREGATE(4,7,A$6:A549)+1</f>
        <v>395</v>
      </c>
      <c r="B550" s="66" t="str">
        <f t="shared" si="80"/>
        <v>H. Chợ Đồn</v>
      </c>
      <c r="C550" s="31" t="str">
        <f t="shared" si="100"/>
        <v>X. Yên Thượng</v>
      </c>
      <c r="D550" s="34"/>
      <c r="E550" s="34" t="s">
        <v>36</v>
      </c>
      <c r="F550" s="31" t="s">
        <v>635</v>
      </c>
      <c r="G550" s="34"/>
      <c r="H550" s="34" t="str">
        <f>IF(LEFT('PL1(Full)'!$F550,4)="Thôn","Thôn","Tổ")</f>
        <v>Thôn</v>
      </c>
      <c r="I550" s="36">
        <v>63</v>
      </c>
      <c r="J550" s="36">
        <v>250</v>
      </c>
      <c r="K550" s="36">
        <v>55</v>
      </c>
      <c r="L550" s="37">
        <f t="shared" si="0"/>
        <v>87.301587301587304</v>
      </c>
      <c r="M550" s="36">
        <v>3</v>
      </c>
      <c r="N550" s="38">
        <f t="shared" si="1"/>
        <v>4.7619047619047619</v>
      </c>
      <c r="O550" s="36">
        <v>2</v>
      </c>
      <c r="P550" s="38">
        <f t="shared" si="2"/>
        <v>66.666666666666671</v>
      </c>
      <c r="Q550" s="88" t="s">
        <v>63</v>
      </c>
      <c r="R550" s="88" t="str">
        <f t="shared" si="3"/>
        <v>X</v>
      </c>
      <c r="S550" s="32"/>
      <c r="T550" s="34" t="str">
        <f>IF('PL1(Full)'!$N550&gt;=20,"x",IF(AND('PL1(Full)'!$N550&gt;=15,'PL1(Full)'!$P550&gt;60),"x",""))</f>
        <v/>
      </c>
      <c r="U550" s="34" t="str">
        <f>IF(AND('PL1(Full)'!$H550="Thôn",'PL1(Full)'!$I550&lt;75),"x",IF(AND('PL1(Full)'!$H550="Tổ",'PL1(Full)'!$I550&lt;100),"x","-"))</f>
        <v>x</v>
      </c>
      <c r="V550" s="34" t="str">
        <f>IF(AND('PL1(Full)'!$H550="Thôn",'PL1(Full)'!$I550&lt;140),"x",IF(AND('PL1(Full)'!$H550="Tổ",'PL1(Full)'!$I550&lt;210),"x","-"))</f>
        <v>x</v>
      </c>
      <c r="W550" s="40" t="str">
        <f t="shared" si="81"/>
        <v>Loại 3</v>
      </c>
      <c r="X550" s="34"/>
    </row>
    <row r="551" spans="1:24" ht="15.75" customHeight="1">
      <c r="A551" s="41">
        <f>_xlfn.AGGREGATE(4,7,A$6:A550)+1</f>
        <v>396</v>
      </c>
      <c r="B551" s="67" t="str">
        <f t="shared" si="80"/>
        <v>H. Chợ Đồn</v>
      </c>
      <c r="C551" s="42" t="str">
        <f t="shared" si="100"/>
        <v>X. Yên Thượng</v>
      </c>
      <c r="D551" s="50"/>
      <c r="E551" s="50" t="s">
        <v>36</v>
      </c>
      <c r="F551" s="42" t="s">
        <v>612</v>
      </c>
      <c r="G551" s="50"/>
      <c r="H551" s="50" t="str">
        <f>IF(LEFT('PL1(Full)'!$F551,4)="Thôn","Thôn","Tổ")</f>
        <v>Thôn</v>
      </c>
      <c r="I551" s="46">
        <v>40</v>
      </c>
      <c r="J551" s="46">
        <v>163</v>
      </c>
      <c r="K551" s="46">
        <v>40</v>
      </c>
      <c r="L551" s="47">
        <f t="shared" si="0"/>
        <v>100</v>
      </c>
      <c r="M551" s="46">
        <v>0</v>
      </c>
      <c r="N551" s="48">
        <f t="shared" si="1"/>
        <v>0</v>
      </c>
      <c r="O551" s="46">
        <v>0</v>
      </c>
      <c r="P551" s="48">
        <f t="shared" si="2"/>
        <v>0</v>
      </c>
      <c r="Q551" s="89" t="s">
        <v>63</v>
      </c>
      <c r="R551" s="89" t="str">
        <f t="shared" si="3"/>
        <v>X</v>
      </c>
      <c r="S551" s="43"/>
      <c r="T551" s="50" t="str">
        <f>IF('PL1(Full)'!$N551&gt;=20,"x",IF(AND('PL1(Full)'!$N551&gt;=15,'PL1(Full)'!$P551&gt;60),"x",""))</f>
        <v/>
      </c>
      <c r="U551" s="50" t="str">
        <f>IF(AND('PL1(Full)'!$H551="Thôn",'PL1(Full)'!$I551&lt;75),"x",IF(AND('PL1(Full)'!$H551="Tổ",'PL1(Full)'!$I551&lt;100),"x","-"))</f>
        <v>x</v>
      </c>
      <c r="V551" s="34" t="str">
        <f>IF(AND('PL1(Full)'!$H551="Thôn",'PL1(Full)'!$I551&lt;140),"x",IF(AND('PL1(Full)'!$H551="Tổ",'PL1(Full)'!$I551&lt;210),"x","-"))</f>
        <v>x</v>
      </c>
      <c r="W551" s="51" t="str">
        <f t="shared" si="81"/>
        <v>Loại 3</v>
      </c>
      <c r="X551" s="50"/>
    </row>
    <row r="552" spans="1:24" ht="15.75" hidden="1" customHeight="1">
      <c r="A552" s="12">
        <f>_xlfn.AGGREGATE(4,7,A$6:A551)+1</f>
        <v>397</v>
      </c>
      <c r="B552" s="13" t="s">
        <v>637</v>
      </c>
      <c r="C552" s="14" t="s">
        <v>638</v>
      </c>
      <c r="D552" s="25" t="s">
        <v>36</v>
      </c>
      <c r="E552" s="25" t="s">
        <v>36</v>
      </c>
      <c r="F552" s="14" t="s">
        <v>411</v>
      </c>
      <c r="G552" s="25"/>
      <c r="H552" s="25" t="str">
        <f>IF(LEFT('PL1(Full)'!$F552,4)="Thôn","Thôn","Tổ")</f>
        <v>Tổ</v>
      </c>
      <c r="I552" s="20">
        <v>153</v>
      </c>
      <c r="J552" s="20">
        <v>573</v>
      </c>
      <c r="K552" s="20">
        <v>35</v>
      </c>
      <c r="L552" s="21">
        <f t="shared" si="0"/>
        <v>22.875816993464053</v>
      </c>
      <c r="M552" s="20">
        <v>7</v>
      </c>
      <c r="N552" s="22">
        <f t="shared" si="1"/>
        <v>4.5751633986928102</v>
      </c>
      <c r="O552" s="20">
        <v>2</v>
      </c>
      <c r="P552" s="22">
        <f t="shared" si="2"/>
        <v>28.571428571428573</v>
      </c>
      <c r="Q552" s="23" t="s">
        <v>49</v>
      </c>
      <c r="R552" s="24" t="str">
        <f t="shared" si="3"/>
        <v>X</v>
      </c>
      <c r="S552" s="25"/>
      <c r="T552" s="26" t="str">
        <f>IF('PL1(Full)'!$N552&gt;=20,"x",IF(AND('PL1(Full)'!$N552&gt;=15,'PL1(Full)'!$P552&gt;60),"x",""))</f>
        <v/>
      </c>
      <c r="U552" s="27" t="str">
        <f>IF(AND('PL1(Full)'!$H552="Thôn",'PL1(Full)'!$I552&lt;75),"x",IF(AND('PL1(Full)'!$H552="Tổ",'PL1(Full)'!$I552&lt;100),"x","-"))</f>
        <v>-</v>
      </c>
      <c r="V552" s="28" t="str">
        <f>IF(AND('PL1(Full)'!$H552="Thôn",'PL1(Full)'!$I552&lt;140),"x",IF(AND('PL1(Full)'!$H552="Tổ",'PL1(Full)'!$I552&lt;210),"x","-"))</f>
        <v>x</v>
      </c>
      <c r="W552" s="29" t="str">
        <f t="shared" ref="W552:W563" si="101">IF(I552&gt;=200,"Loại 1",IF(I552&gt;=150,"Loại 2","Loại 3"))</f>
        <v>Loại 2</v>
      </c>
      <c r="X552" s="25"/>
    </row>
    <row r="553" spans="1:24" ht="15.75" hidden="1" customHeight="1">
      <c r="A553" s="30">
        <f>_xlfn.AGGREGATE(4,7,A$6:A552)+1</f>
        <v>397</v>
      </c>
      <c r="B553" s="31" t="str">
        <f t="shared" ref="B553:C553" si="102">B552</f>
        <v>H. Chợ Mới</v>
      </c>
      <c r="C553" s="31" t="str">
        <f t="shared" si="102"/>
        <v>TT. Đồng Tâm</v>
      </c>
      <c r="D553" s="34"/>
      <c r="E553" s="34" t="s">
        <v>36</v>
      </c>
      <c r="F553" s="31" t="s">
        <v>639</v>
      </c>
      <c r="G553" s="34" t="s">
        <v>40</v>
      </c>
      <c r="H553" s="34" t="str">
        <f>IF(LEFT('PL1(Full)'!$F553,4)="Thôn","Thôn","Tổ")</f>
        <v>Tổ</v>
      </c>
      <c r="I553" s="36">
        <v>173</v>
      </c>
      <c r="J553" s="36">
        <v>649</v>
      </c>
      <c r="K553" s="36">
        <v>56</v>
      </c>
      <c r="L553" s="37">
        <f t="shared" si="0"/>
        <v>32.369942196531795</v>
      </c>
      <c r="M553" s="36">
        <v>9</v>
      </c>
      <c r="N553" s="38">
        <f t="shared" si="1"/>
        <v>5.202312138728324</v>
      </c>
      <c r="O553" s="36">
        <v>6</v>
      </c>
      <c r="P553" s="38">
        <f t="shared" si="2"/>
        <v>66.666666666666671</v>
      </c>
      <c r="Q553" s="39" t="s">
        <v>47</v>
      </c>
      <c r="R553" s="39" t="str">
        <f t="shared" si="3"/>
        <v>X</v>
      </c>
      <c r="S553" s="34"/>
      <c r="T553" s="34" t="str">
        <f>IF('PL1(Full)'!$N553&gt;=20,"x",IF(AND('PL1(Full)'!$N553&gt;=15,'PL1(Full)'!$P553&gt;60),"x",""))</f>
        <v/>
      </c>
      <c r="U553" s="34" t="str">
        <f>IF(AND('PL1(Full)'!$H553="Thôn",'PL1(Full)'!$I553&lt;75),"x",IF(AND('PL1(Full)'!$H553="Tổ",'PL1(Full)'!$I553&lt;100),"x","-"))</f>
        <v>-</v>
      </c>
      <c r="V553" s="34" t="str">
        <f>IF(AND('PL1(Full)'!$H553="Thôn",'PL1(Full)'!$I553&lt;140),"x",IF(AND('PL1(Full)'!$H553="Tổ",'PL1(Full)'!$I553&lt;210),"x","-"))</f>
        <v>x</v>
      </c>
      <c r="W553" s="40" t="str">
        <f t="shared" si="101"/>
        <v>Loại 2</v>
      </c>
      <c r="X553" s="34"/>
    </row>
    <row r="554" spans="1:24" ht="15.75" hidden="1" customHeight="1">
      <c r="A554" s="30">
        <f>_xlfn.AGGREGATE(4,7,A$6:A553)+1</f>
        <v>397</v>
      </c>
      <c r="B554" s="31" t="str">
        <f t="shared" ref="B554:C554" si="103">B553</f>
        <v>H. Chợ Mới</v>
      </c>
      <c r="C554" s="31" t="str">
        <f t="shared" si="103"/>
        <v>TT. Đồng Tâm</v>
      </c>
      <c r="D554" s="34"/>
      <c r="E554" s="34" t="s">
        <v>36</v>
      </c>
      <c r="F554" s="31" t="s">
        <v>414</v>
      </c>
      <c r="G554" s="32" t="s">
        <v>137</v>
      </c>
      <c r="H554" s="34" t="str">
        <f>IF(LEFT('PL1(Full)'!$F554,4)="Thôn","Thôn","Tổ")</f>
        <v>Tổ</v>
      </c>
      <c r="I554" s="36">
        <v>125</v>
      </c>
      <c r="J554" s="36">
        <v>559</v>
      </c>
      <c r="K554" s="36">
        <v>93</v>
      </c>
      <c r="L554" s="37">
        <f t="shared" si="0"/>
        <v>74.400000000000006</v>
      </c>
      <c r="M554" s="36">
        <v>5</v>
      </c>
      <c r="N554" s="38">
        <f t="shared" si="1"/>
        <v>4</v>
      </c>
      <c r="O554" s="36">
        <v>2</v>
      </c>
      <c r="P554" s="38">
        <f t="shared" si="2"/>
        <v>40</v>
      </c>
      <c r="Q554" s="39" t="s">
        <v>49</v>
      </c>
      <c r="R554" s="39" t="str">
        <f t="shared" si="3"/>
        <v>X</v>
      </c>
      <c r="S554" s="34"/>
      <c r="T554" s="34" t="str">
        <f>IF('PL1(Full)'!$N554&gt;=20,"x",IF(AND('PL1(Full)'!$N554&gt;=15,'PL1(Full)'!$P554&gt;60),"x",""))</f>
        <v/>
      </c>
      <c r="U554" s="34" t="str">
        <f>IF(AND('PL1(Full)'!$H554="Thôn",'PL1(Full)'!$I554&lt;75),"x",IF(AND('PL1(Full)'!$H554="Tổ",'PL1(Full)'!$I554&lt;100),"x","-"))</f>
        <v>-</v>
      </c>
      <c r="V554" s="34" t="str">
        <f>IF(AND('PL1(Full)'!$H554="Thôn",'PL1(Full)'!$I554&lt;140),"x",IF(AND('PL1(Full)'!$H554="Tổ",'PL1(Full)'!$I554&lt;210),"x","-"))</f>
        <v>x</v>
      </c>
      <c r="W554" s="40" t="str">
        <f t="shared" si="101"/>
        <v>Loại 3</v>
      </c>
      <c r="X554" s="34"/>
    </row>
    <row r="555" spans="1:24" ht="15.75" hidden="1" customHeight="1">
      <c r="A555" s="30">
        <f>_xlfn.AGGREGATE(4,7,A$6:A554)+1</f>
        <v>397</v>
      </c>
      <c r="B555" s="31" t="str">
        <f t="shared" ref="B555:C555" si="104">B554</f>
        <v>H. Chợ Mới</v>
      </c>
      <c r="C555" s="31" t="str">
        <f t="shared" si="104"/>
        <v>TT. Đồng Tâm</v>
      </c>
      <c r="D555" s="34"/>
      <c r="E555" s="34" t="s">
        <v>36</v>
      </c>
      <c r="F555" s="31" t="s">
        <v>415</v>
      </c>
      <c r="G555" s="32" t="s">
        <v>137</v>
      </c>
      <c r="H555" s="34" t="str">
        <f>IF(LEFT('PL1(Full)'!$F555,4)="Thôn","Thôn","Tổ")</f>
        <v>Tổ</v>
      </c>
      <c r="I555" s="36">
        <v>132</v>
      </c>
      <c r="J555" s="36">
        <v>567</v>
      </c>
      <c r="K555" s="36">
        <v>121</v>
      </c>
      <c r="L555" s="37">
        <f t="shared" si="0"/>
        <v>91.666666666666671</v>
      </c>
      <c r="M555" s="36">
        <v>9</v>
      </c>
      <c r="N555" s="38">
        <f t="shared" si="1"/>
        <v>6.8181818181818183</v>
      </c>
      <c r="O555" s="36">
        <v>8</v>
      </c>
      <c r="P555" s="38">
        <f t="shared" si="2"/>
        <v>88.888888888888886</v>
      </c>
      <c r="Q555" s="39" t="s">
        <v>49</v>
      </c>
      <c r="R555" s="39" t="str">
        <f t="shared" si="3"/>
        <v>X</v>
      </c>
      <c r="S555" s="34"/>
      <c r="T555" s="34" t="str">
        <f>IF('PL1(Full)'!$N555&gt;=20,"x",IF(AND('PL1(Full)'!$N555&gt;=15,'PL1(Full)'!$P555&gt;60),"x",""))</f>
        <v/>
      </c>
      <c r="U555" s="34" t="str">
        <f>IF(AND('PL1(Full)'!$H555="Thôn",'PL1(Full)'!$I555&lt;75),"x",IF(AND('PL1(Full)'!$H555="Tổ",'PL1(Full)'!$I555&lt;100),"x","-"))</f>
        <v>-</v>
      </c>
      <c r="V555" s="34" t="str">
        <f>IF(AND('PL1(Full)'!$H555="Thôn",'PL1(Full)'!$I555&lt;140),"x",IF(AND('PL1(Full)'!$H555="Tổ",'PL1(Full)'!$I555&lt;210),"x","-"))</f>
        <v>x</v>
      </c>
      <c r="W555" s="40" t="str">
        <f t="shared" si="101"/>
        <v>Loại 3</v>
      </c>
      <c r="X555" s="34"/>
    </row>
    <row r="556" spans="1:24" ht="15.75" hidden="1" customHeight="1">
      <c r="A556" s="30">
        <f>_xlfn.AGGREGATE(4,7,A$6:A555)+1</f>
        <v>397</v>
      </c>
      <c r="B556" s="31" t="str">
        <f t="shared" ref="B556:C556" si="105">B555</f>
        <v>H. Chợ Mới</v>
      </c>
      <c r="C556" s="31" t="str">
        <f t="shared" si="105"/>
        <v>TT. Đồng Tâm</v>
      </c>
      <c r="D556" s="34"/>
      <c r="E556" s="34" t="s">
        <v>36</v>
      </c>
      <c r="F556" s="31" t="s">
        <v>416</v>
      </c>
      <c r="G556" s="34"/>
      <c r="H556" s="34" t="str">
        <f>IF(LEFT('PL1(Full)'!$F556,4)="Thôn","Thôn","Tổ")</f>
        <v>Tổ</v>
      </c>
      <c r="I556" s="36">
        <v>139</v>
      </c>
      <c r="J556" s="36">
        <v>481</v>
      </c>
      <c r="K556" s="36">
        <v>60</v>
      </c>
      <c r="L556" s="37">
        <f t="shared" si="0"/>
        <v>43.165467625899282</v>
      </c>
      <c r="M556" s="36">
        <v>6</v>
      </c>
      <c r="N556" s="38">
        <f t="shared" si="1"/>
        <v>4.3165467625899279</v>
      </c>
      <c r="O556" s="36">
        <v>2</v>
      </c>
      <c r="P556" s="38">
        <f t="shared" si="2"/>
        <v>33.333333333333336</v>
      </c>
      <c r="Q556" s="39" t="s">
        <v>56</v>
      </c>
      <c r="R556" s="39" t="str">
        <f t="shared" si="3"/>
        <v>X</v>
      </c>
      <c r="S556" s="34"/>
      <c r="T556" s="34" t="str">
        <f>IF('PL1(Full)'!$N556&gt;=20,"x",IF(AND('PL1(Full)'!$N556&gt;=15,'PL1(Full)'!$P556&gt;60),"x",""))</f>
        <v/>
      </c>
      <c r="U556" s="34" t="str">
        <f>IF(AND('PL1(Full)'!$H556="Thôn",'PL1(Full)'!$I556&lt;75),"x",IF(AND('PL1(Full)'!$H556="Tổ",'PL1(Full)'!$I556&lt;100),"x","-"))</f>
        <v>-</v>
      </c>
      <c r="V556" s="34" t="str">
        <f>IF(AND('PL1(Full)'!$H556="Thôn",'PL1(Full)'!$I556&lt;140),"x",IF(AND('PL1(Full)'!$H556="Tổ",'PL1(Full)'!$I556&lt;210),"x","-"))</f>
        <v>x</v>
      </c>
      <c r="W556" s="40" t="str">
        <f t="shared" si="101"/>
        <v>Loại 3</v>
      </c>
      <c r="X556" s="34"/>
    </row>
    <row r="557" spans="1:24" ht="15.75" customHeight="1">
      <c r="A557" s="30">
        <f>_xlfn.AGGREGATE(4,7,A$6:A556)+1</f>
        <v>397</v>
      </c>
      <c r="B557" s="31" t="str">
        <f t="shared" ref="B557:C557" si="106">B556</f>
        <v>H. Chợ Mới</v>
      </c>
      <c r="C557" s="31" t="str">
        <f t="shared" si="106"/>
        <v>TT. Đồng Tâm</v>
      </c>
      <c r="D557" s="34"/>
      <c r="E557" s="34" t="s">
        <v>36</v>
      </c>
      <c r="F557" s="31" t="s">
        <v>640</v>
      </c>
      <c r="G557" s="34"/>
      <c r="H557" s="34" t="str">
        <f>IF(LEFT('PL1(Full)'!$F557,4)="Thôn","Thôn","Tổ")</f>
        <v>Tổ</v>
      </c>
      <c r="I557" s="36">
        <v>76</v>
      </c>
      <c r="J557" s="36">
        <v>262</v>
      </c>
      <c r="K557" s="36">
        <v>20</v>
      </c>
      <c r="L557" s="37">
        <f t="shared" si="0"/>
        <v>26.315789473684209</v>
      </c>
      <c r="M557" s="36">
        <v>8</v>
      </c>
      <c r="N557" s="38">
        <f t="shared" si="1"/>
        <v>10.526315789473685</v>
      </c>
      <c r="O557" s="36">
        <v>2</v>
      </c>
      <c r="P557" s="38">
        <f t="shared" si="2"/>
        <v>25</v>
      </c>
      <c r="Q557" s="39" t="s">
        <v>338</v>
      </c>
      <c r="R557" s="39" t="str">
        <f t="shared" si="3"/>
        <v>X</v>
      </c>
      <c r="S557" s="34"/>
      <c r="T557" s="34" t="str">
        <f>IF('PL1(Full)'!$N557&gt;=20,"x",IF(AND('PL1(Full)'!$N557&gt;=15,'PL1(Full)'!$P557&gt;60),"x",""))</f>
        <v/>
      </c>
      <c r="U557" s="34" t="str">
        <f>IF(AND('PL1(Full)'!$H557="Thôn",'PL1(Full)'!$I557&lt;75),"x",IF(AND('PL1(Full)'!$H557="Tổ",'PL1(Full)'!$I557&lt;100),"x","-"))</f>
        <v>x</v>
      </c>
      <c r="V557" s="34" t="str">
        <f>IF(AND('PL1(Full)'!$H557="Thôn",'PL1(Full)'!$I557&lt;140),"x",IF(AND('PL1(Full)'!$H557="Tổ",'PL1(Full)'!$I557&lt;210),"x","-"))</f>
        <v>x</v>
      </c>
      <c r="W557" s="40" t="str">
        <f t="shared" si="101"/>
        <v>Loại 3</v>
      </c>
      <c r="X557" s="34"/>
    </row>
    <row r="558" spans="1:24" ht="15.75" hidden="1" customHeight="1">
      <c r="A558" s="30">
        <f>_xlfn.AGGREGATE(4,7,A$6:A557)+1</f>
        <v>398</v>
      </c>
      <c r="B558" s="31" t="str">
        <f t="shared" ref="B558:C558" si="107">B557</f>
        <v>H. Chợ Mới</v>
      </c>
      <c r="C558" s="31" t="str">
        <f t="shared" si="107"/>
        <v>TT. Đồng Tâm</v>
      </c>
      <c r="D558" s="34"/>
      <c r="E558" s="34" t="s">
        <v>36</v>
      </c>
      <c r="F558" s="31" t="s">
        <v>419</v>
      </c>
      <c r="G558" s="34"/>
      <c r="H558" s="34" t="str">
        <f>IF(LEFT('PL1(Full)'!$F558,4)="Thôn","Thôn","Tổ")</f>
        <v>Tổ</v>
      </c>
      <c r="I558" s="36">
        <v>188</v>
      </c>
      <c r="J558" s="36">
        <v>587</v>
      </c>
      <c r="K558" s="36">
        <v>52</v>
      </c>
      <c r="L558" s="37">
        <f t="shared" si="0"/>
        <v>27.659574468085108</v>
      </c>
      <c r="M558" s="36">
        <v>4</v>
      </c>
      <c r="N558" s="38">
        <f t="shared" si="1"/>
        <v>2.1276595744680851</v>
      </c>
      <c r="O558" s="36">
        <v>1</v>
      </c>
      <c r="P558" s="38">
        <f t="shared" si="2"/>
        <v>25</v>
      </c>
      <c r="Q558" s="39" t="s">
        <v>43</v>
      </c>
      <c r="R558" s="39" t="str">
        <f t="shared" si="3"/>
        <v>X</v>
      </c>
      <c r="S558" s="34"/>
      <c r="T558" s="34" t="str">
        <f>IF('PL1(Full)'!$N558&gt;=20,"x",IF(AND('PL1(Full)'!$N558&gt;=15,'PL1(Full)'!$P558&gt;60),"x",""))</f>
        <v/>
      </c>
      <c r="U558" s="34" t="str">
        <f>IF(AND('PL1(Full)'!$H558="Thôn",'PL1(Full)'!$I558&lt;75),"x",IF(AND('PL1(Full)'!$H558="Tổ",'PL1(Full)'!$I558&lt;100),"x","-"))</f>
        <v>-</v>
      </c>
      <c r="V558" s="34" t="str">
        <f>IF(AND('PL1(Full)'!$H558="Thôn",'PL1(Full)'!$I558&lt;140),"x",IF(AND('PL1(Full)'!$H558="Tổ",'PL1(Full)'!$I558&lt;210),"x","-"))</f>
        <v>x</v>
      </c>
      <c r="W558" s="40" t="str">
        <f t="shared" si="101"/>
        <v>Loại 2</v>
      </c>
      <c r="X558" s="34"/>
    </row>
    <row r="559" spans="1:24" ht="15.75" customHeight="1">
      <c r="A559" s="30">
        <f>_xlfn.AGGREGATE(4,7,A$6:A558)+1</f>
        <v>398</v>
      </c>
      <c r="B559" s="31" t="str">
        <f t="shared" ref="B559:C559" si="108">B558</f>
        <v>H. Chợ Mới</v>
      </c>
      <c r="C559" s="31" t="str">
        <f t="shared" si="108"/>
        <v>TT. Đồng Tâm</v>
      </c>
      <c r="D559" s="34"/>
      <c r="E559" s="34" t="s">
        <v>36</v>
      </c>
      <c r="F559" s="31" t="s">
        <v>420</v>
      </c>
      <c r="G559" s="34" t="s">
        <v>641</v>
      </c>
      <c r="H559" s="34" t="str">
        <f>IF(LEFT('PL1(Full)'!$F559,4)="Thôn","Thôn","Tổ")</f>
        <v>Tổ</v>
      </c>
      <c r="I559" s="36">
        <v>93</v>
      </c>
      <c r="J559" s="36">
        <v>388</v>
      </c>
      <c r="K559" s="36">
        <v>69</v>
      </c>
      <c r="L559" s="37">
        <f t="shared" si="0"/>
        <v>74.193548387096769</v>
      </c>
      <c r="M559" s="36">
        <v>2</v>
      </c>
      <c r="N559" s="38">
        <f t="shared" si="1"/>
        <v>2.150537634408602</v>
      </c>
      <c r="O559" s="36">
        <v>1</v>
      </c>
      <c r="P559" s="38">
        <f t="shared" si="2"/>
        <v>50</v>
      </c>
      <c r="Q559" s="39" t="s">
        <v>56</v>
      </c>
      <c r="R559" s="39" t="str">
        <f t="shared" si="3"/>
        <v>X</v>
      </c>
      <c r="S559" s="34"/>
      <c r="T559" s="34" t="str">
        <f>IF('PL1(Full)'!$N559&gt;=20,"x",IF(AND('PL1(Full)'!$N559&gt;=15,'PL1(Full)'!$P559&gt;60),"x",""))</f>
        <v/>
      </c>
      <c r="U559" s="34" t="str">
        <f>IF(AND('PL1(Full)'!$H559="Thôn",'PL1(Full)'!$I559&lt;75),"x",IF(AND('PL1(Full)'!$H559="Tổ",'PL1(Full)'!$I559&lt;100),"x","-"))</f>
        <v>x</v>
      </c>
      <c r="V559" s="34" t="str">
        <f>IF(AND('PL1(Full)'!$H559="Thôn",'PL1(Full)'!$I559&lt;140),"x",IF(AND('PL1(Full)'!$H559="Tổ",'PL1(Full)'!$I559&lt;210),"x","-"))</f>
        <v>x</v>
      </c>
      <c r="W559" s="40" t="str">
        <f t="shared" si="101"/>
        <v>Loại 3</v>
      </c>
      <c r="X559" s="34"/>
    </row>
    <row r="560" spans="1:24" ht="15.75" hidden="1" customHeight="1">
      <c r="A560" s="30">
        <f>_xlfn.AGGREGATE(4,7,A$6:A559)+1</f>
        <v>399</v>
      </c>
      <c r="B560" s="31" t="str">
        <f t="shared" ref="B560:C560" si="109">B559</f>
        <v>H. Chợ Mới</v>
      </c>
      <c r="C560" s="31" t="str">
        <f t="shared" si="109"/>
        <v>TT. Đồng Tâm</v>
      </c>
      <c r="D560" s="34"/>
      <c r="E560" s="34" t="s">
        <v>36</v>
      </c>
      <c r="F560" s="31" t="s">
        <v>421</v>
      </c>
      <c r="G560" s="34" t="s">
        <v>641</v>
      </c>
      <c r="H560" s="34" t="str">
        <f>IF(LEFT('PL1(Full)'!$F560,4)="Thôn","Thôn","Tổ")</f>
        <v>Tổ</v>
      </c>
      <c r="I560" s="36">
        <v>111</v>
      </c>
      <c r="J560" s="36">
        <v>429</v>
      </c>
      <c r="K560" s="36">
        <v>91</v>
      </c>
      <c r="L560" s="37">
        <f t="shared" si="0"/>
        <v>81.981981981981988</v>
      </c>
      <c r="M560" s="36">
        <v>5</v>
      </c>
      <c r="N560" s="38">
        <f t="shared" si="1"/>
        <v>4.5045045045045047</v>
      </c>
      <c r="O560" s="36">
        <v>5</v>
      </c>
      <c r="P560" s="38">
        <f t="shared" si="2"/>
        <v>100</v>
      </c>
      <c r="Q560" s="39" t="s">
        <v>56</v>
      </c>
      <c r="R560" s="39" t="str">
        <f t="shared" si="3"/>
        <v>X</v>
      </c>
      <c r="S560" s="34"/>
      <c r="T560" s="34" t="str">
        <f>IF('PL1(Full)'!$N560&gt;=20,"x",IF(AND('PL1(Full)'!$N560&gt;=15,'PL1(Full)'!$P560&gt;60),"x",""))</f>
        <v/>
      </c>
      <c r="U560" s="34" t="str">
        <f>IF(AND('PL1(Full)'!$H560="Thôn",'PL1(Full)'!$I560&lt;75),"x",IF(AND('PL1(Full)'!$H560="Tổ",'PL1(Full)'!$I560&lt;100),"x","-"))</f>
        <v>-</v>
      </c>
      <c r="V560" s="34" t="str">
        <f>IF(AND('PL1(Full)'!$H560="Thôn",'PL1(Full)'!$I560&lt;140),"x",IF(AND('PL1(Full)'!$H560="Tổ",'PL1(Full)'!$I560&lt;210),"x","-"))</f>
        <v>x</v>
      </c>
      <c r="W560" s="40" t="str">
        <f t="shared" si="101"/>
        <v>Loại 3</v>
      </c>
      <c r="X560" s="34"/>
    </row>
    <row r="561" spans="1:24" ht="15.75" hidden="1" customHeight="1">
      <c r="A561" s="30">
        <f>_xlfn.AGGREGATE(4,7,A$6:A560)+1</f>
        <v>399</v>
      </c>
      <c r="B561" s="31" t="str">
        <f t="shared" ref="B561:C561" si="110">B560</f>
        <v>H. Chợ Mới</v>
      </c>
      <c r="C561" s="31" t="str">
        <f t="shared" si="110"/>
        <v>TT. Đồng Tâm</v>
      </c>
      <c r="D561" s="34"/>
      <c r="E561" s="34" t="s">
        <v>36</v>
      </c>
      <c r="F561" s="31" t="s">
        <v>422</v>
      </c>
      <c r="G561" s="34" t="s">
        <v>641</v>
      </c>
      <c r="H561" s="34" t="str">
        <f>IF(LEFT('PL1(Full)'!$F561,4)="Thôn","Thôn","Tổ")</f>
        <v>Tổ</v>
      </c>
      <c r="I561" s="36">
        <v>108</v>
      </c>
      <c r="J561" s="36">
        <v>417</v>
      </c>
      <c r="K561" s="36">
        <v>86</v>
      </c>
      <c r="L561" s="37">
        <f t="shared" si="0"/>
        <v>79.629629629629633</v>
      </c>
      <c r="M561" s="36">
        <v>3</v>
      </c>
      <c r="N561" s="38">
        <f t="shared" si="1"/>
        <v>2.7777777777777777</v>
      </c>
      <c r="O561" s="36">
        <v>1</v>
      </c>
      <c r="P561" s="38">
        <f t="shared" si="2"/>
        <v>33.333333333333336</v>
      </c>
      <c r="Q561" s="39" t="s">
        <v>56</v>
      </c>
      <c r="R561" s="39" t="str">
        <f t="shared" si="3"/>
        <v>X</v>
      </c>
      <c r="S561" s="34"/>
      <c r="T561" s="34" t="str">
        <f>IF('PL1(Full)'!$N561&gt;=20,"x",IF(AND('PL1(Full)'!$N561&gt;=15,'PL1(Full)'!$P561&gt;60),"x",""))</f>
        <v/>
      </c>
      <c r="U561" s="34" t="str">
        <f>IF(AND('PL1(Full)'!$H561="Thôn",'PL1(Full)'!$I561&lt;75),"x",IF(AND('PL1(Full)'!$H561="Tổ",'PL1(Full)'!$I561&lt;100),"x","-"))</f>
        <v>-</v>
      </c>
      <c r="V561" s="34" t="str">
        <f>IF(AND('PL1(Full)'!$H561="Thôn",'PL1(Full)'!$I561&lt;140),"x",IF(AND('PL1(Full)'!$H561="Tổ",'PL1(Full)'!$I561&lt;210),"x","-"))</f>
        <v>x</v>
      </c>
      <c r="W561" s="40" t="str">
        <f t="shared" si="101"/>
        <v>Loại 3</v>
      </c>
      <c r="X561" s="34"/>
    </row>
    <row r="562" spans="1:24" ht="15.75" hidden="1" customHeight="1">
      <c r="A562" s="30">
        <f>_xlfn.AGGREGATE(4,7,A$6:A561)+1</f>
        <v>399</v>
      </c>
      <c r="B562" s="31" t="str">
        <f t="shared" ref="B562:C562" si="111">B561</f>
        <v>H. Chợ Mới</v>
      </c>
      <c r="C562" s="31" t="str">
        <f t="shared" si="111"/>
        <v>TT. Đồng Tâm</v>
      </c>
      <c r="D562" s="34"/>
      <c r="E562" s="34" t="s">
        <v>36</v>
      </c>
      <c r="F562" s="31" t="s">
        <v>642</v>
      </c>
      <c r="G562" s="34" t="s">
        <v>641</v>
      </c>
      <c r="H562" s="34" t="str">
        <f>IF(LEFT('PL1(Full)'!$F562,4)="Thôn","Thôn","Tổ")</f>
        <v>Tổ</v>
      </c>
      <c r="I562" s="36">
        <v>147</v>
      </c>
      <c r="J562" s="36">
        <v>573</v>
      </c>
      <c r="K562" s="36">
        <v>109</v>
      </c>
      <c r="L562" s="37">
        <f t="shared" si="0"/>
        <v>74.149659863945573</v>
      </c>
      <c r="M562" s="36">
        <v>2</v>
      </c>
      <c r="N562" s="38">
        <f t="shared" si="1"/>
        <v>1.3605442176870748</v>
      </c>
      <c r="O562" s="36">
        <v>1</v>
      </c>
      <c r="P562" s="38">
        <f t="shared" si="2"/>
        <v>50</v>
      </c>
      <c r="Q562" s="39" t="s">
        <v>56</v>
      </c>
      <c r="R562" s="39" t="str">
        <f t="shared" si="3"/>
        <v>X</v>
      </c>
      <c r="S562" s="34"/>
      <c r="T562" s="34" t="str">
        <f>IF('PL1(Full)'!$N562&gt;=20,"x",IF(AND('PL1(Full)'!$N562&gt;=15,'PL1(Full)'!$P562&gt;60),"x",""))</f>
        <v/>
      </c>
      <c r="U562" s="34" t="str">
        <f>IF(AND('PL1(Full)'!$H562="Thôn",'PL1(Full)'!$I562&lt;75),"x",IF(AND('PL1(Full)'!$H562="Tổ",'PL1(Full)'!$I562&lt;100),"x","-"))</f>
        <v>-</v>
      </c>
      <c r="V562" s="34" t="str">
        <f>IF(AND('PL1(Full)'!$H562="Thôn",'PL1(Full)'!$I562&lt;140),"x",IF(AND('PL1(Full)'!$H562="Tổ",'PL1(Full)'!$I562&lt;210),"x","-"))</f>
        <v>x</v>
      </c>
      <c r="W562" s="40" t="str">
        <f t="shared" si="101"/>
        <v>Loại 3</v>
      </c>
      <c r="X562" s="34"/>
    </row>
    <row r="563" spans="1:24" ht="15.75" hidden="1" customHeight="1">
      <c r="A563" s="41">
        <f>_xlfn.AGGREGATE(4,7,A$6:A562)+1</f>
        <v>399</v>
      </c>
      <c r="B563" s="42" t="str">
        <f t="shared" ref="B563:C563" si="112">B562</f>
        <v>H. Chợ Mới</v>
      </c>
      <c r="C563" s="42" t="str">
        <f t="shared" si="112"/>
        <v>TT. Đồng Tâm</v>
      </c>
      <c r="D563" s="50"/>
      <c r="E563" s="50" t="s">
        <v>36</v>
      </c>
      <c r="F563" s="42" t="s">
        <v>425</v>
      </c>
      <c r="G563" s="50" t="s">
        <v>641</v>
      </c>
      <c r="H563" s="50" t="str">
        <f>IF(LEFT('PL1(Full)'!$F563,4)="Thôn","Thôn","Tổ")</f>
        <v>Tổ</v>
      </c>
      <c r="I563" s="46">
        <v>104</v>
      </c>
      <c r="J563" s="46">
        <v>496</v>
      </c>
      <c r="K563" s="46">
        <v>104</v>
      </c>
      <c r="L563" s="47">
        <f t="shared" si="0"/>
        <v>100</v>
      </c>
      <c r="M563" s="46">
        <v>13</v>
      </c>
      <c r="N563" s="48">
        <f t="shared" si="1"/>
        <v>12.5</v>
      </c>
      <c r="O563" s="46">
        <v>13</v>
      </c>
      <c r="P563" s="48">
        <f t="shared" si="2"/>
        <v>100</v>
      </c>
      <c r="Q563" s="49" t="s">
        <v>56</v>
      </c>
      <c r="R563" s="49" t="str">
        <f t="shared" si="3"/>
        <v>X</v>
      </c>
      <c r="S563" s="50"/>
      <c r="T563" s="50" t="str">
        <f>IF('PL1(Full)'!$N563&gt;=20,"x",IF(AND('PL1(Full)'!$N563&gt;=15,'PL1(Full)'!$P563&gt;60),"x",""))</f>
        <v/>
      </c>
      <c r="U563" s="50" t="str">
        <f>IF(AND('PL1(Full)'!$H563="Thôn",'PL1(Full)'!$I563&lt;75),"x",IF(AND('PL1(Full)'!$H563="Tổ",'PL1(Full)'!$I563&lt;100),"x","-"))</f>
        <v>-</v>
      </c>
      <c r="V563" s="50" t="str">
        <f>IF(AND('PL1(Full)'!$H563="Thôn",'PL1(Full)'!$I563&lt;140),"x",IF(AND('PL1(Full)'!$H563="Tổ",'PL1(Full)'!$I563&lt;210),"x","-"))</f>
        <v>x</v>
      </c>
      <c r="W563" s="51" t="str">
        <f t="shared" si="101"/>
        <v>Loại 3</v>
      </c>
      <c r="X563" s="50"/>
    </row>
    <row r="564" spans="1:24" ht="15.75" hidden="1" customHeight="1">
      <c r="A564" s="52">
        <f>_xlfn.AGGREGATE(4,7,A$6:A563)+1</f>
        <v>399</v>
      </c>
      <c r="B564" s="14" t="str">
        <f t="shared" ref="B564:B704" si="113">B563</f>
        <v>H. Chợ Mới</v>
      </c>
      <c r="C564" s="14" t="s">
        <v>643</v>
      </c>
      <c r="D564" s="25" t="s">
        <v>36</v>
      </c>
      <c r="E564" s="25" t="s">
        <v>36</v>
      </c>
      <c r="F564" s="14" t="s">
        <v>127</v>
      </c>
      <c r="G564" s="25"/>
      <c r="H564" s="25" t="str">
        <f>IF(LEFT('PL1(Full)'!$F564,4)="Thôn","Thôn","Tổ")</f>
        <v>Thôn</v>
      </c>
      <c r="I564" s="19">
        <v>76</v>
      </c>
      <c r="J564" s="20">
        <v>319</v>
      </c>
      <c r="K564" s="20">
        <v>76</v>
      </c>
      <c r="L564" s="21">
        <f t="shared" si="0"/>
        <v>100</v>
      </c>
      <c r="M564" s="20">
        <v>9</v>
      </c>
      <c r="N564" s="22">
        <f t="shared" si="1"/>
        <v>11.842105263157896</v>
      </c>
      <c r="O564" s="19">
        <v>9</v>
      </c>
      <c r="P564" s="22">
        <f t="shared" si="2"/>
        <v>100</v>
      </c>
      <c r="Q564" s="23" t="s">
        <v>63</v>
      </c>
      <c r="R564" s="24" t="str">
        <f t="shared" si="3"/>
        <v>X</v>
      </c>
      <c r="S564" s="25"/>
      <c r="T564" s="26" t="str">
        <f>IF('PL1(Full)'!$N564&gt;=20,"x",IF(AND('PL1(Full)'!$N564&gt;=15,'PL1(Full)'!$P564&gt;60),"x",""))</f>
        <v/>
      </c>
      <c r="U564" s="27" t="str">
        <f>IF(AND('PL1(Full)'!$H564="Thôn",'PL1(Full)'!$I564&lt;75),"x",IF(AND('PL1(Full)'!$H564="Tổ",'PL1(Full)'!$I564&lt;100),"x","-"))</f>
        <v>-</v>
      </c>
      <c r="V564" s="28" t="str">
        <f>IF(AND('PL1(Full)'!$H564="Thôn",'PL1(Full)'!$I564&lt;140),"x",IF(AND('PL1(Full)'!$H564="Tổ",'PL1(Full)'!$I564&lt;210),"x","-"))</f>
        <v>x</v>
      </c>
      <c r="W564" s="29" t="str">
        <f t="shared" ref="W564:W710" si="114">IF(I564&gt;=150,"Loại 1",IF(I564&gt;=100,"Loại 2","Loại 3"))</f>
        <v>Loại 3</v>
      </c>
      <c r="X564" s="25"/>
    </row>
    <row r="565" spans="1:24" ht="15.75" customHeight="1">
      <c r="A565" s="30">
        <f>_xlfn.AGGREGATE(4,7,A$6:A564)+1</f>
        <v>399</v>
      </c>
      <c r="B565" s="31" t="str">
        <f t="shared" si="113"/>
        <v>H. Chợ Mới</v>
      </c>
      <c r="C565" s="31" t="str">
        <f t="shared" ref="C565:C570" si="115">C564</f>
        <v>X. Bình Văn</v>
      </c>
      <c r="D565" s="34"/>
      <c r="E565" s="34" t="s">
        <v>36</v>
      </c>
      <c r="F565" s="31" t="s">
        <v>644</v>
      </c>
      <c r="G565" s="34"/>
      <c r="H565" s="34" t="str">
        <f>IF(LEFT('PL1(Full)'!$F565,4)="Thôn","Thôn","Tổ")</f>
        <v>Thôn</v>
      </c>
      <c r="I565" s="35">
        <v>36</v>
      </c>
      <c r="J565" s="36">
        <v>184</v>
      </c>
      <c r="K565" s="36">
        <v>36</v>
      </c>
      <c r="L565" s="37">
        <f t="shared" si="0"/>
        <v>100</v>
      </c>
      <c r="M565" s="36">
        <v>8</v>
      </c>
      <c r="N565" s="38">
        <f t="shared" si="1"/>
        <v>22.222222222222221</v>
      </c>
      <c r="O565" s="35">
        <v>8</v>
      </c>
      <c r="P565" s="38">
        <f t="shared" si="2"/>
        <v>100</v>
      </c>
      <c r="Q565" s="39" t="s">
        <v>63</v>
      </c>
      <c r="R565" s="39" t="str">
        <f t="shared" si="3"/>
        <v>X</v>
      </c>
      <c r="S565" s="34"/>
      <c r="T565" s="34" t="str">
        <f>IF('PL1(Full)'!$N565&gt;=20,"x",IF(AND('PL1(Full)'!$N565&gt;=15,'PL1(Full)'!$P565&gt;60),"x",""))</f>
        <v>x</v>
      </c>
      <c r="U565" s="34" t="str">
        <f>IF(AND('PL1(Full)'!$H565="Thôn",'PL1(Full)'!$I565&lt;75),"x",IF(AND('PL1(Full)'!$H565="Tổ",'PL1(Full)'!$I565&lt;100),"x","-"))</f>
        <v>x</v>
      </c>
      <c r="V565" s="34" t="str">
        <f>IF(AND('PL1(Full)'!$H565="Thôn",'PL1(Full)'!$I565&lt;140),"x",IF(AND('PL1(Full)'!$H565="Tổ",'PL1(Full)'!$I565&lt;210),"x","-"))</f>
        <v>x</v>
      </c>
      <c r="W565" s="40" t="str">
        <f t="shared" si="114"/>
        <v>Loại 3</v>
      </c>
      <c r="X565" s="34"/>
    </row>
    <row r="566" spans="1:24" ht="15.75" customHeight="1">
      <c r="A566" s="30">
        <f>_xlfn.AGGREGATE(4,7,A$6:A565)+1</f>
        <v>400</v>
      </c>
      <c r="B566" s="31" t="str">
        <f t="shared" si="113"/>
        <v>H. Chợ Mới</v>
      </c>
      <c r="C566" s="31" t="str">
        <f t="shared" si="115"/>
        <v>X. Bình Văn</v>
      </c>
      <c r="D566" s="34"/>
      <c r="E566" s="34" t="s">
        <v>36</v>
      </c>
      <c r="F566" s="31" t="s">
        <v>645</v>
      </c>
      <c r="G566" s="34"/>
      <c r="H566" s="34" t="str">
        <f>IF(LEFT('PL1(Full)'!$F566,4)="Thôn","Thôn","Tổ")</f>
        <v>Thôn</v>
      </c>
      <c r="I566" s="35">
        <v>56</v>
      </c>
      <c r="J566" s="36">
        <v>255</v>
      </c>
      <c r="K566" s="36">
        <v>56</v>
      </c>
      <c r="L566" s="37">
        <f t="shared" si="0"/>
        <v>100</v>
      </c>
      <c r="M566" s="36">
        <v>5</v>
      </c>
      <c r="N566" s="38">
        <f t="shared" si="1"/>
        <v>8.9285714285714288</v>
      </c>
      <c r="O566" s="35">
        <v>5</v>
      </c>
      <c r="P566" s="38">
        <f t="shared" si="2"/>
        <v>100</v>
      </c>
      <c r="Q566" s="39" t="s">
        <v>63</v>
      </c>
      <c r="R566" s="39" t="str">
        <f t="shared" si="3"/>
        <v>X</v>
      </c>
      <c r="S566" s="34"/>
      <c r="T566" s="34" t="str">
        <f>IF('PL1(Full)'!$N566&gt;=20,"x",IF(AND('PL1(Full)'!$N566&gt;=15,'PL1(Full)'!$P566&gt;60),"x",""))</f>
        <v/>
      </c>
      <c r="U566" s="34" t="str">
        <f>IF(AND('PL1(Full)'!$H566="Thôn",'PL1(Full)'!$I566&lt;75),"x",IF(AND('PL1(Full)'!$H566="Tổ",'PL1(Full)'!$I566&lt;100),"x","-"))</f>
        <v>x</v>
      </c>
      <c r="V566" s="34" t="str">
        <f>IF(AND('PL1(Full)'!$H566="Thôn",'PL1(Full)'!$I566&lt;140),"x",IF(AND('PL1(Full)'!$H566="Tổ",'PL1(Full)'!$I566&lt;210),"x","-"))</f>
        <v>x</v>
      </c>
      <c r="W566" s="40" t="str">
        <f t="shared" si="114"/>
        <v>Loại 3</v>
      </c>
      <c r="X566" s="34"/>
    </row>
    <row r="567" spans="1:24" ht="15.75" customHeight="1">
      <c r="A567" s="30">
        <f>_xlfn.AGGREGATE(4,7,A$6:A566)+1</f>
        <v>401</v>
      </c>
      <c r="B567" s="31" t="str">
        <f t="shared" si="113"/>
        <v>H. Chợ Mới</v>
      </c>
      <c r="C567" s="31" t="str">
        <f t="shared" si="115"/>
        <v>X. Bình Văn</v>
      </c>
      <c r="D567" s="34"/>
      <c r="E567" s="34" t="s">
        <v>36</v>
      </c>
      <c r="F567" s="31" t="s">
        <v>646</v>
      </c>
      <c r="G567" s="34"/>
      <c r="H567" s="34" t="str">
        <f>IF(LEFT('PL1(Full)'!$F567,4)="Thôn","Thôn","Tổ")</f>
        <v>Thôn</v>
      </c>
      <c r="I567" s="35">
        <v>47</v>
      </c>
      <c r="J567" s="36">
        <v>214</v>
      </c>
      <c r="K567" s="36">
        <v>47</v>
      </c>
      <c r="L567" s="37">
        <f t="shared" si="0"/>
        <v>100</v>
      </c>
      <c r="M567" s="36">
        <v>8</v>
      </c>
      <c r="N567" s="38">
        <f t="shared" si="1"/>
        <v>17.021276595744681</v>
      </c>
      <c r="O567" s="35">
        <v>8</v>
      </c>
      <c r="P567" s="38">
        <f t="shared" si="2"/>
        <v>100</v>
      </c>
      <c r="Q567" s="39" t="s">
        <v>63</v>
      </c>
      <c r="R567" s="39" t="str">
        <f t="shared" si="3"/>
        <v>X</v>
      </c>
      <c r="S567" s="34"/>
      <c r="T567" s="34" t="str">
        <f>IF('PL1(Full)'!$N567&gt;=20,"x",IF(AND('PL1(Full)'!$N567&gt;=15,'PL1(Full)'!$P567&gt;60),"x",""))</f>
        <v>x</v>
      </c>
      <c r="U567" s="34" t="str">
        <f>IF(AND('PL1(Full)'!$H567="Thôn",'PL1(Full)'!$I567&lt;75),"x",IF(AND('PL1(Full)'!$H567="Tổ",'PL1(Full)'!$I567&lt;100),"x","-"))</f>
        <v>x</v>
      </c>
      <c r="V567" s="34" t="str">
        <f>IF(AND('PL1(Full)'!$H567="Thôn",'PL1(Full)'!$I567&lt;140),"x",IF(AND('PL1(Full)'!$H567="Tổ",'PL1(Full)'!$I567&lt;210),"x","-"))</f>
        <v>x</v>
      </c>
      <c r="W567" s="40" t="str">
        <f t="shared" si="114"/>
        <v>Loại 3</v>
      </c>
      <c r="X567" s="34"/>
    </row>
    <row r="568" spans="1:24" ht="15.75" customHeight="1">
      <c r="A568" s="30">
        <f>_xlfn.AGGREGATE(4,7,A$6:A567)+1</f>
        <v>402</v>
      </c>
      <c r="B568" s="31" t="str">
        <f t="shared" si="113"/>
        <v>H. Chợ Mới</v>
      </c>
      <c r="C568" s="31" t="str">
        <f t="shared" si="115"/>
        <v>X. Bình Văn</v>
      </c>
      <c r="D568" s="34"/>
      <c r="E568" s="34" t="s">
        <v>36</v>
      </c>
      <c r="F568" s="31" t="s">
        <v>647</v>
      </c>
      <c r="G568" s="34"/>
      <c r="H568" s="34" t="str">
        <f>IF(LEFT('PL1(Full)'!$F568,4)="Thôn","Thôn","Tổ")</f>
        <v>Thôn</v>
      </c>
      <c r="I568" s="35">
        <v>49</v>
      </c>
      <c r="J568" s="36">
        <v>198</v>
      </c>
      <c r="K568" s="36">
        <v>49</v>
      </c>
      <c r="L568" s="37">
        <f t="shared" si="0"/>
        <v>100</v>
      </c>
      <c r="M568" s="36">
        <v>12</v>
      </c>
      <c r="N568" s="38">
        <f t="shared" si="1"/>
        <v>24.489795918367346</v>
      </c>
      <c r="O568" s="35">
        <v>12</v>
      </c>
      <c r="P568" s="38">
        <f t="shared" si="2"/>
        <v>100</v>
      </c>
      <c r="Q568" s="39" t="s">
        <v>63</v>
      </c>
      <c r="R568" s="39" t="str">
        <f t="shared" si="3"/>
        <v>X</v>
      </c>
      <c r="S568" s="34" t="s">
        <v>60</v>
      </c>
      <c r="T568" s="34" t="str">
        <f>IF('PL1(Full)'!$N568&gt;=20,"x",IF(AND('PL1(Full)'!$N568&gt;=15,'PL1(Full)'!$P568&gt;60),"x",""))</f>
        <v>x</v>
      </c>
      <c r="U568" s="34" t="str">
        <f>IF(AND('PL1(Full)'!$H568="Thôn",'PL1(Full)'!$I568&lt;75),"x",IF(AND('PL1(Full)'!$H568="Tổ",'PL1(Full)'!$I568&lt;100),"x","-"))</f>
        <v>x</v>
      </c>
      <c r="V568" s="34" t="str">
        <f>IF(AND('PL1(Full)'!$H568="Thôn",'PL1(Full)'!$I568&lt;140),"x",IF(AND('PL1(Full)'!$H568="Tổ",'PL1(Full)'!$I568&lt;210),"x","-"))</f>
        <v>x</v>
      </c>
      <c r="W568" s="40" t="str">
        <f t="shared" si="114"/>
        <v>Loại 3</v>
      </c>
      <c r="X568" s="34"/>
    </row>
    <row r="569" spans="1:24" ht="15.75" customHeight="1">
      <c r="A569" s="30">
        <f>_xlfn.AGGREGATE(4,7,A$6:A568)+1</f>
        <v>403</v>
      </c>
      <c r="B569" s="31" t="str">
        <f t="shared" si="113"/>
        <v>H. Chợ Mới</v>
      </c>
      <c r="C569" s="31" t="str">
        <f t="shared" si="115"/>
        <v>X. Bình Văn</v>
      </c>
      <c r="D569" s="34"/>
      <c r="E569" s="34" t="s">
        <v>36</v>
      </c>
      <c r="F569" s="31" t="s">
        <v>648</v>
      </c>
      <c r="G569" s="34"/>
      <c r="H569" s="34" t="str">
        <f>IF(LEFT('PL1(Full)'!$F569,4)="Thôn","Thôn","Tổ")</f>
        <v>Thôn</v>
      </c>
      <c r="I569" s="35">
        <v>59</v>
      </c>
      <c r="J569" s="36">
        <v>289</v>
      </c>
      <c r="K569" s="36">
        <v>59</v>
      </c>
      <c r="L569" s="37">
        <f t="shared" si="0"/>
        <v>100</v>
      </c>
      <c r="M569" s="36">
        <v>8</v>
      </c>
      <c r="N569" s="38">
        <f t="shared" si="1"/>
        <v>13.559322033898304</v>
      </c>
      <c r="O569" s="35">
        <v>8</v>
      </c>
      <c r="P569" s="38">
        <f t="shared" si="2"/>
        <v>100</v>
      </c>
      <c r="Q569" s="39" t="s">
        <v>63</v>
      </c>
      <c r="R569" s="39" t="str">
        <f t="shared" si="3"/>
        <v>X</v>
      </c>
      <c r="S569" s="34"/>
      <c r="T569" s="34" t="str">
        <f>IF('PL1(Full)'!$N569&gt;=20,"x",IF(AND('PL1(Full)'!$N569&gt;=15,'PL1(Full)'!$P569&gt;60),"x",""))</f>
        <v/>
      </c>
      <c r="U569" s="34" t="str">
        <f>IF(AND('PL1(Full)'!$H569="Thôn",'PL1(Full)'!$I569&lt;75),"x",IF(AND('PL1(Full)'!$H569="Tổ",'PL1(Full)'!$I569&lt;100),"x","-"))</f>
        <v>x</v>
      </c>
      <c r="V569" s="34" t="str">
        <f>IF(AND('PL1(Full)'!$H569="Thôn",'PL1(Full)'!$I569&lt;140),"x",IF(AND('PL1(Full)'!$H569="Tổ",'PL1(Full)'!$I569&lt;210),"x","-"))</f>
        <v>x</v>
      </c>
      <c r="W569" s="40" t="str">
        <f t="shared" si="114"/>
        <v>Loại 3</v>
      </c>
      <c r="X569" s="34"/>
    </row>
    <row r="570" spans="1:24" ht="15.75" customHeight="1">
      <c r="A570" s="41">
        <f>_xlfn.AGGREGATE(4,7,A$6:A569)+1</f>
        <v>404</v>
      </c>
      <c r="B570" s="42" t="str">
        <f t="shared" si="113"/>
        <v>H. Chợ Mới</v>
      </c>
      <c r="C570" s="42" t="str">
        <f t="shared" si="115"/>
        <v>X. Bình Văn</v>
      </c>
      <c r="D570" s="50"/>
      <c r="E570" s="50" t="s">
        <v>36</v>
      </c>
      <c r="F570" s="42" t="s">
        <v>649</v>
      </c>
      <c r="G570" s="50"/>
      <c r="H570" s="50" t="str">
        <f>IF(LEFT('PL1(Full)'!$F570,4)="Thôn","Thôn","Tổ")</f>
        <v>Thôn</v>
      </c>
      <c r="I570" s="45">
        <v>30</v>
      </c>
      <c r="J570" s="46">
        <v>130</v>
      </c>
      <c r="K570" s="46">
        <v>30</v>
      </c>
      <c r="L570" s="47">
        <f t="shared" si="0"/>
        <v>100</v>
      </c>
      <c r="M570" s="46">
        <v>6</v>
      </c>
      <c r="N570" s="48">
        <f t="shared" si="1"/>
        <v>20</v>
      </c>
      <c r="O570" s="45">
        <v>6</v>
      </c>
      <c r="P570" s="48">
        <f t="shared" si="2"/>
        <v>100</v>
      </c>
      <c r="Q570" s="49" t="s">
        <v>63</v>
      </c>
      <c r="R570" s="49" t="str">
        <f t="shared" si="3"/>
        <v>X</v>
      </c>
      <c r="S570" s="50"/>
      <c r="T570" s="50" t="str">
        <f>IF('PL1(Full)'!$N570&gt;=20,"x",IF(AND('PL1(Full)'!$N570&gt;=15,'PL1(Full)'!$P570&gt;60),"x",""))</f>
        <v>x</v>
      </c>
      <c r="U570" s="50" t="str">
        <f>IF(AND('PL1(Full)'!$H570="Thôn",'PL1(Full)'!$I570&lt;75),"x",IF(AND('PL1(Full)'!$H570="Tổ",'PL1(Full)'!$I570&lt;100),"x","-"))</f>
        <v>x</v>
      </c>
      <c r="V570" s="34" t="str">
        <f>IF(AND('PL1(Full)'!$H570="Thôn",'PL1(Full)'!$I570&lt;140),"x",IF(AND('PL1(Full)'!$H570="Tổ",'PL1(Full)'!$I570&lt;210),"x","-"))</f>
        <v>x</v>
      </c>
      <c r="W570" s="51" t="str">
        <f t="shared" si="114"/>
        <v>Loại 3</v>
      </c>
      <c r="X570" s="50"/>
    </row>
    <row r="571" spans="1:24" ht="15.75" hidden="1" customHeight="1">
      <c r="A571" s="52">
        <f>_xlfn.AGGREGATE(4,7,A$6:A570)+1</f>
        <v>405</v>
      </c>
      <c r="B571" s="14" t="str">
        <f t="shared" si="113"/>
        <v>H. Chợ Mới</v>
      </c>
      <c r="C571" s="14" t="s">
        <v>650</v>
      </c>
      <c r="D571" s="25" t="s">
        <v>58</v>
      </c>
      <c r="E571" s="25" t="s">
        <v>58</v>
      </c>
      <c r="F571" s="14" t="s">
        <v>651</v>
      </c>
      <c r="G571" s="25"/>
      <c r="H571" s="25" t="str">
        <f>IF(LEFT('PL1(Full)'!$F571,4)="Thôn","Thôn","Tổ")</f>
        <v>Thôn</v>
      </c>
      <c r="I571" s="20">
        <v>112</v>
      </c>
      <c r="J571" s="20">
        <v>464</v>
      </c>
      <c r="K571" s="20">
        <v>100</v>
      </c>
      <c r="L571" s="21">
        <f t="shared" si="0"/>
        <v>89.285714285714292</v>
      </c>
      <c r="M571" s="20">
        <v>4</v>
      </c>
      <c r="N571" s="22">
        <f t="shared" si="1"/>
        <v>3.5714285714285716</v>
      </c>
      <c r="O571" s="19">
        <v>3</v>
      </c>
      <c r="P571" s="22">
        <f t="shared" si="2"/>
        <v>75</v>
      </c>
      <c r="Q571" s="23" t="s">
        <v>43</v>
      </c>
      <c r="R571" s="24" t="str">
        <f t="shared" si="3"/>
        <v>X</v>
      </c>
      <c r="S571" s="25"/>
      <c r="T571" s="26" t="str">
        <f>IF('PL1(Full)'!$N571&gt;=20,"x",IF(AND('PL1(Full)'!$N571&gt;=15,'PL1(Full)'!$P571&gt;60),"x",""))</f>
        <v/>
      </c>
      <c r="U571" s="27" t="str">
        <f>IF(AND('PL1(Full)'!$H571="Thôn",'PL1(Full)'!$I571&lt;75),"x",IF(AND('PL1(Full)'!$H571="Tổ",'PL1(Full)'!$I571&lt;100),"x","-"))</f>
        <v>-</v>
      </c>
      <c r="V571" s="28" t="str">
        <f>IF(AND('PL1(Full)'!$H571="Thôn",'PL1(Full)'!$I571&lt;140),"x",IF(AND('PL1(Full)'!$H571="Tổ",'PL1(Full)'!$I571&lt;210),"x","-"))</f>
        <v>x</v>
      </c>
      <c r="W571" s="29" t="str">
        <f t="shared" si="114"/>
        <v>Loại 2</v>
      </c>
      <c r="X571" s="25"/>
    </row>
    <row r="572" spans="1:24" ht="15.75" hidden="1" customHeight="1">
      <c r="A572" s="30">
        <f>_xlfn.AGGREGATE(4,7,A$6:A571)+1</f>
        <v>405</v>
      </c>
      <c r="B572" s="31" t="str">
        <f t="shared" si="113"/>
        <v>H. Chợ Mới</v>
      </c>
      <c r="C572" s="31" t="str">
        <f t="shared" ref="C572:C583" si="116">C571</f>
        <v>X. Cao Kỳ</v>
      </c>
      <c r="D572" s="34"/>
      <c r="E572" s="34" t="s">
        <v>58</v>
      </c>
      <c r="F572" s="31" t="s">
        <v>652</v>
      </c>
      <c r="G572" s="34"/>
      <c r="H572" s="34" t="str">
        <f>IF(LEFT('PL1(Full)'!$F572,4)="Thôn","Thôn","Tổ")</f>
        <v>Thôn</v>
      </c>
      <c r="I572" s="36">
        <v>104</v>
      </c>
      <c r="J572" s="36">
        <v>412</v>
      </c>
      <c r="K572" s="36">
        <v>89</v>
      </c>
      <c r="L572" s="37">
        <f t="shared" si="0"/>
        <v>85.57692307692308</v>
      </c>
      <c r="M572" s="36">
        <v>18</v>
      </c>
      <c r="N572" s="38">
        <f t="shared" si="1"/>
        <v>17.307692307692307</v>
      </c>
      <c r="O572" s="35">
        <v>14</v>
      </c>
      <c r="P572" s="38">
        <f t="shared" si="2"/>
        <v>77.777777777777771</v>
      </c>
      <c r="Q572" s="39" t="s">
        <v>43</v>
      </c>
      <c r="R572" s="39" t="str">
        <f t="shared" si="3"/>
        <v>X</v>
      </c>
      <c r="S572" s="34"/>
      <c r="T572" s="34" t="str">
        <f>IF('PL1(Full)'!$N572&gt;=20,"x",IF(AND('PL1(Full)'!$N572&gt;=15,'PL1(Full)'!$P572&gt;60),"x",""))</f>
        <v>x</v>
      </c>
      <c r="U572" s="34" t="str">
        <f>IF(AND('PL1(Full)'!$H572="Thôn",'PL1(Full)'!$I572&lt;75),"x",IF(AND('PL1(Full)'!$H572="Tổ",'PL1(Full)'!$I572&lt;100),"x","-"))</f>
        <v>-</v>
      </c>
      <c r="V572" s="34" t="str">
        <f>IF(AND('PL1(Full)'!$H572="Thôn",'PL1(Full)'!$I572&lt;140),"x",IF(AND('PL1(Full)'!$H572="Tổ",'PL1(Full)'!$I572&lt;210),"x","-"))</f>
        <v>x</v>
      </c>
      <c r="W572" s="40" t="str">
        <f t="shared" si="114"/>
        <v>Loại 2</v>
      </c>
      <c r="X572" s="34"/>
    </row>
    <row r="573" spans="1:24" ht="15.75" customHeight="1">
      <c r="A573" s="30">
        <f>_xlfn.AGGREGATE(4,7,A$6:A572)+1</f>
        <v>405</v>
      </c>
      <c r="B573" s="31" t="str">
        <f t="shared" si="113"/>
        <v>H. Chợ Mới</v>
      </c>
      <c r="C573" s="31" t="str">
        <f t="shared" si="116"/>
        <v>X. Cao Kỳ</v>
      </c>
      <c r="D573" s="34"/>
      <c r="E573" s="34" t="s">
        <v>58</v>
      </c>
      <c r="F573" s="31" t="s">
        <v>653</v>
      </c>
      <c r="G573" s="34"/>
      <c r="H573" s="34" t="str">
        <f>IF(LEFT('PL1(Full)'!$F573,4)="Thôn","Thôn","Tổ")</f>
        <v>Thôn</v>
      </c>
      <c r="I573" s="36">
        <v>56</v>
      </c>
      <c r="J573" s="36">
        <v>220</v>
      </c>
      <c r="K573" s="36">
        <v>22</v>
      </c>
      <c r="L573" s="37">
        <f t="shared" si="0"/>
        <v>39.285714285714285</v>
      </c>
      <c r="M573" s="36">
        <v>3</v>
      </c>
      <c r="N573" s="38">
        <f t="shared" si="1"/>
        <v>5.3571428571428568</v>
      </c>
      <c r="O573" s="35">
        <v>2</v>
      </c>
      <c r="P573" s="38">
        <f t="shared" si="2"/>
        <v>66.666666666666671</v>
      </c>
      <c r="Q573" s="39" t="s">
        <v>63</v>
      </c>
      <c r="R573" s="39" t="str">
        <f t="shared" si="3"/>
        <v>X</v>
      </c>
      <c r="S573" s="34"/>
      <c r="T573" s="34" t="str">
        <f>IF('PL1(Full)'!$N573&gt;=20,"x",IF(AND('PL1(Full)'!$N573&gt;=15,'PL1(Full)'!$P573&gt;60),"x",""))</f>
        <v/>
      </c>
      <c r="U573" s="34" t="str">
        <f>IF(AND('PL1(Full)'!$H573="Thôn",'PL1(Full)'!$I573&lt;75),"x",IF(AND('PL1(Full)'!$H573="Tổ",'PL1(Full)'!$I573&lt;100),"x","-"))</f>
        <v>x</v>
      </c>
      <c r="V573" s="34" t="str">
        <f>IF(AND('PL1(Full)'!$H573="Thôn",'PL1(Full)'!$I573&lt;140),"x",IF(AND('PL1(Full)'!$H573="Tổ",'PL1(Full)'!$I573&lt;210),"x","-"))</f>
        <v>x</v>
      </c>
      <c r="W573" s="40" t="str">
        <f t="shared" si="114"/>
        <v>Loại 3</v>
      </c>
      <c r="X573" s="34"/>
    </row>
    <row r="574" spans="1:24" ht="15.75" customHeight="1">
      <c r="A574" s="30">
        <f>_xlfn.AGGREGATE(4,7,A$6:A573)+1</f>
        <v>406</v>
      </c>
      <c r="B574" s="31" t="str">
        <f t="shared" si="113"/>
        <v>H. Chợ Mới</v>
      </c>
      <c r="C574" s="31" t="str">
        <f t="shared" si="116"/>
        <v>X. Cao Kỳ</v>
      </c>
      <c r="D574" s="34"/>
      <c r="E574" s="34" t="s">
        <v>58</v>
      </c>
      <c r="F574" s="31" t="s">
        <v>654</v>
      </c>
      <c r="G574" s="34"/>
      <c r="H574" s="34" t="str">
        <f>IF(LEFT('PL1(Full)'!$F574,4)="Thôn","Thôn","Tổ")</f>
        <v>Thôn</v>
      </c>
      <c r="I574" s="36">
        <v>15</v>
      </c>
      <c r="J574" s="36">
        <v>53</v>
      </c>
      <c r="K574" s="36">
        <v>14</v>
      </c>
      <c r="L574" s="37">
        <f t="shared" si="0"/>
        <v>93.333333333333329</v>
      </c>
      <c r="M574" s="36">
        <v>8</v>
      </c>
      <c r="N574" s="38">
        <f t="shared" si="1"/>
        <v>53.333333333333336</v>
      </c>
      <c r="O574" s="35">
        <v>8</v>
      </c>
      <c r="P574" s="38">
        <f t="shared" si="2"/>
        <v>100</v>
      </c>
      <c r="Q574" s="39" t="s">
        <v>63</v>
      </c>
      <c r="R574" s="39" t="str">
        <f t="shared" si="3"/>
        <v>X</v>
      </c>
      <c r="S574" s="34" t="s">
        <v>60</v>
      </c>
      <c r="T574" s="34" t="str">
        <f>IF('PL1(Full)'!$N574&gt;=20,"x",IF(AND('PL1(Full)'!$N574&gt;=15,'PL1(Full)'!$P574&gt;60),"x",""))</f>
        <v>x</v>
      </c>
      <c r="U574" s="34" t="str">
        <f>IF(AND('PL1(Full)'!$H574="Thôn",'PL1(Full)'!$I574&lt;75),"x",IF(AND('PL1(Full)'!$H574="Tổ",'PL1(Full)'!$I574&lt;100),"x","-"))</f>
        <v>x</v>
      </c>
      <c r="V574" s="34" t="str">
        <f>IF(AND('PL1(Full)'!$H574="Thôn",'PL1(Full)'!$I574&lt;140),"x",IF(AND('PL1(Full)'!$H574="Tổ",'PL1(Full)'!$I574&lt;210),"x","-"))</f>
        <v>x</v>
      </c>
      <c r="W574" s="40" t="str">
        <f t="shared" si="114"/>
        <v>Loại 3</v>
      </c>
      <c r="X574" s="34"/>
    </row>
    <row r="575" spans="1:24" ht="15.75" customHeight="1">
      <c r="A575" s="30">
        <f>_xlfn.AGGREGATE(4,7,A$6:A574)+1</f>
        <v>407</v>
      </c>
      <c r="B575" s="31" t="str">
        <f t="shared" si="113"/>
        <v>H. Chợ Mới</v>
      </c>
      <c r="C575" s="31" t="str">
        <f t="shared" si="116"/>
        <v>X. Cao Kỳ</v>
      </c>
      <c r="D575" s="34"/>
      <c r="E575" s="34" t="s">
        <v>58</v>
      </c>
      <c r="F575" s="31" t="s">
        <v>655</v>
      </c>
      <c r="G575" s="34"/>
      <c r="H575" s="34" t="str">
        <f>IF(LEFT('PL1(Full)'!$F575,4)="Thôn","Thôn","Tổ")</f>
        <v>Thôn</v>
      </c>
      <c r="I575" s="36">
        <v>66</v>
      </c>
      <c r="J575" s="36">
        <v>248</v>
      </c>
      <c r="K575" s="36">
        <v>60</v>
      </c>
      <c r="L575" s="37">
        <f t="shared" si="0"/>
        <v>90.909090909090907</v>
      </c>
      <c r="M575" s="36">
        <v>5</v>
      </c>
      <c r="N575" s="38">
        <f t="shared" si="1"/>
        <v>7.5757575757575761</v>
      </c>
      <c r="O575" s="35">
        <v>5</v>
      </c>
      <c r="P575" s="38">
        <f t="shared" si="2"/>
        <v>100</v>
      </c>
      <c r="Q575" s="39" t="s">
        <v>63</v>
      </c>
      <c r="R575" s="39" t="str">
        <f t="shared" si="3"/>
        <v>X</v>
      </c>
      <c r="S575" s="34"/>
      <c r="T575" s="34" t="str">
        <f>IF('PL1(Full)'!$N575&gt;=20,"x",IF(AND('PL1(Full)'!$N575&gt;=15,'PL1(Full)'!$P575&gt;60),"x",""))</f>
        <v/>
      </c>
      <c r="U575" s="34" t="str">
        <f>IF(AND('PL1(Full)'!$H575="Thôn",'PL1(Full)'!$I575&lt;75),"x",IF(AND('PL1(Full)'!$H575="Tổ",'PL1(Full)'!$I575&lt;100),"x","-"))</f>
        <v>x</v>
      </c>
      <c r="V575" s="34" t="str">
        <f>IF(AND('PL1(Full)'!$H575="Thôn",'PL1(Full)'!$I575&lt;140),"x",IF(AND('PL1(Full)'!$H575="Tổ",'PL1(Full)'!$I575&lt;210),"x","-"))</f>
        <v>x</v>
      </c>
      <c r="W575" s="40" t="str">
        <f t="shared" si="114"/>
        <v>Loại 3</v>
      </c>
      <c r="X575" s="34"/>
    </row>
    <row r="576" spans="1:24" ht="15.75" customHeight="1">
      <c r="A576" s="30">
        <f>_xlfn.AGGREGATE(4,7,A$6:A575)+1</f>
        <v>408</v>
      </c>
      <c r="B576" s="31" t="str">
        <f t="shared" si="113"/>
        <v>H. Chợ Mới</v>
      </c>
      <c r="C576" s="31" t="str">
        <f t="shared" si="116"/>
        <v>X. Cao Kỳ</v>
      </c>
      <c r="D576" s="34"/>
      <c r="E576" s="34" t="s">
        <v>58</v>
      </c>
      <c r="F576" s="31" t="s">
        <v>656</v>
      </c>
      <c r="G576" s="34" t="s">
        <v>40</v>
      </c>
      <c r="H576" s="34" t="str">
        <f>IF(LEFT('PL1(Full)'!$F576,4)="Thôn","Thôn","Tổ")</f>
        <v>Thôn</v>
      </c>
      <c r="I576" s="36">
        <v>32</v>
      </c>
      <c r="J576" s="36">
        <v>140</v>
      </c>
      <c r="K576" s="36">
        <v>32</v>
      </c>
      <c r="L576" s="37">
        <f t="shared" si="0"/>
        <v>100</v>
      </c>
      <c r="M576" s="36">
        <v>32</v>
      </c>
      <c r="N576" s="38">
        <f t="shared" si="1"/>
        <v>100</v>
      </c>
      <c r="O576" s="35">
        <v>32</v>
      </c>
      <c r="P576" s="38">
        <f t="shared" si="2"/>
        <v>100</v>
      </c>
      <c r="Q576" s="39" t="s">
        <v>63</v>
      </c>
      <c r="R576" s="39" t="str">
        <f t="shared" si="3"/>
        <v>X</v>
      </c>
      <c r="S576" s="34" t="s">
        <v>60</v>
      </c>
      <c r="T576" s="34" t="str">
        <f>IF('PL1(Full)'!$N576&gt;=20,"x",IF(AND('PL1(Full)'!$N576&gt;=15,'PL1(Full)'!$P576&gt;60),"x",""))</f>
        <v>x</v>
      </c>
      <c r="U576" s="34" t="str">
        <f>IF(AND('PL1(Full)'!$H576="Thôn",'PL1(Full)'!$I576&lt;75),"x",IF(AND('PL1(Full)'!$H576="Tổ",'PL1(Full)'!$I576&lt;100),"x","-"))</f>
        <v>x</v>
      </c>
      <c r="V576" s="34" t="str">
        <f>IF(AND('PL1(Full)'!$H576="Thôn",'PL1(Full)'!$I576&lt;140),"x",IF(AND('PL1(Full)'!$H576="Tổ",'PL1(Full)'!$I576&lt;210),"x","-"))</f>
        <v>x</v>
      </c>
      <c r="W576" s="40" t="str">
        <f t="shared" si="114"/>
        <v>Loại 3</v>
      </c>
      <c r="X576" s="34"/>
    </row>
    <row r="577" spans="1:24" ht="15.75" hidden="1" customHeight="1">
      <c r="A577" s="30">
        <f>_xlfn.AGGREGATE(4,7,A$6:A576)+1</f>
        <v>409</v>
      </c>
      <c r="B577" s="31" t="str">
        <f t="shared" si="113"/>
        <v>H. Chợ Mới</v>
      </c>
      <c r="C577" s="31" t="str">
        <f t="shared" si="116"/>
        <v>X. Cao Kỳ</v>
      </c>
      <c r="D577" s="34"/>
      <c r="E577" s="34" t="s">
        <v>58</v>
      </c>
      <c r="F577" s="31" t="s">
        <v>657</v>
      </c>
      <c r="G577" s="34"/>
      <c r="H577" s="34" t="str">
        <f>IF(LEFT('PL1(Full)'!$F577,4)="Thôn","Thôn","Tổ")</f>
        <v>Thôn</v>
      </c>
      <c r="I577" s="36">
        <v>96</v>
      </c>
      <c r="J577" s="36">
        <v>372</v>
      </c>
      <c r="K577" s="36">
        <v>79</v>
      </c>
      <c r="L577" s="37">
        <f t="shared" si="0"/>
        <v>82.291666666666671</v>
      </c>
      <c r="M577" s="36">
        <v>0</v>
      </c>
      <c r="N577" s="38">
        <f t="shared" si="1"/>
        <v>0</v>
      </c>
      <c r="O577" s="35">
        <v>0</v>
      </c>
      <c r="P577" s="38">
        <f t="shared" si="2"/>
        <v>0</v>
      </c>
      <c r="Q577" s="39" t="s">
        <v>43</v>
      </c>
      <c r="R577" s="39" t="str">
        <f t="shared" si="3"/>
        <v>X</v>
      </c>
      <c r="S577" s="34"/>
      <c r="T577" s="34" t="str">
        <f>IF('PL1(Full)'!$N577&gt;=20,"x",IF(AND('PL1(Full)'!$N577&gt;=15,'PL1(Full)'!$P577&gt;60),"x",""))</f>
        <v/>
      </c>
      <c r="U577" s="34" t="str">
        <f>IF(AND('PL1(Full)'!$H577="Thôn",'PL1(Full)'!$I577&lt;75),"x",IF(AND('PL1(Full)'!$H577="Tổ",'PL1(Full)'!$I577&lt;100),"x","-"))</f>
        <v>-</v>
      </c>
      <c r="V577" s="34" t="str">
        <f>IF(AND('PL1(Full)'!$H577="Thôn",'PL1(Full)'!$I577&lt;140),"x",IF(AND('PL1(Full)'!$H577="Tổ",'PL1(Full)'!$I577&lt;210),"x","-"))</f>
        <v>x</v>
      </c>
      <c r="W577" s="40" t="str">
        <f t="shared" si="114"/>
        <v>Loại 3</v>
      </c>
      <c r="X577" s="34"/>
    </row>
    <row r="578" spans="1:24" ht="15.75" hidden="1" customHeight="1">
      <c r="A578" s="30">
        <f>_xlfn.AGGREGATE(4,7,A$6:A577)+1</f>
        <v>409</v>
      </c>
      <c r="B578" s="31" t="str">
        <f t="shared" si="113"/>
        <v>H. Chợ Mới</v>
      </c>
      <c r="C578" s="31" t="str">
        <f t="shared" si="116"/>
        <v>X. Cao Kỳ</v>
      </c>
      <c r="D578" s="34"/>
      <c r="E578" s="34" t="s">
        <v>58</v>
      </c>
      <c r="F578" s="31" t="s">
        <v>658</v>
      </c>
      <c r="G578" s="34"/>
      <c r="H578" s="34" t="str">
        <f>IF(LEFT('PL1(Full)'!$F578,4)="Thôn","Thôn","Tổ")</f>
        <v>Thôn</v>
      </c>
      <c r="I578" s="36">
        <v>77</v>
      </c>
      <c r="J578" s="36">
        <v>330</v>
      </c>
      <c r="K578" s="36">
        <v>71</v>
      </c>
      <c r="L578" s="37">
        <f t="shared" si="0"/>
        <v>92.20779220779221</v>
      </c>
      <c r="M578" s="36">
        <v>11</v>
      </c>
      <c r="N578" s="38">
        <f t="shared" si="1"/>
        <v>14.285714285714286</v>
      </c>
      <c r="O578" s="35">
        <v>7</v>
      </c>
      <c r="P578" s="38">
        <f t="shared" si="2"/>
        <v>63.636363636363633</v>
      </c>
      <c r="Q578" s="39" t="s">
        <v>43</v>
      </c>
      <c r="R578" s="39" t="str">
        <f t="shared" si="3"/>
        <v>X</v>
      </c>
      <c r="S578" s="34"/>
      <c r="T578" s="34" t="str">
        <f>IF('PL1(Full)'!$N578&gt;=20,"x",IF(AND('PL1(Full)'!$N578&gt;=15,'PL1(Full)'!$P578&gt;60),"x",""))</f>
        <v/>
      </c>
      <c r="U578" s="34" t="str">
        <f>IF(AND('PL1(Full)'!$H578="Thôn",'PL1(Full)'!$I578&lt;75),"x",IF(AND('PL1(Full)'!$H578="Tổ",'PL1(Full)'!$I578&lt;100),"x","-"))</f>
        <v>-</v>
      </c>
      <c r="V578" s="34" t="str">
        <f>IF(AND('PL1(Full)'!$H578="Thôn",'PL1(Full)'!$I578&lt;140),"x",IF(AND('PL1(Full)'!$H578="Tổ",'PL1(Full)'!$I578&lt;210),"x","-"))</f>
        <v>x</v>
      </c>
      <c r="W578" s="40" t="str">
        <f t="shared" si="114"/>
        <v>Loại 3</v>
      </c>
      <c r="X578" s="34"/>
    </row>
    <row r="579" spans="1:24" ht="15.75" customHeight="1">
      <c r="A579" s="30">
        <f>_xlfn.AGGREGATE(4,7,A$6:A578)+1</f>
        <v>409</v>
      </c>
      <c r="B579" s="31" t="str">
        <f t="shared" si="113"/>
        <v>H. Chợ Mới</v>
      </c>
      <c r="C579" s="31" t="str">
        <f t="shared" si="116"/>
        <v>X. Cao Kỳ</v>
      </c>
      <c r="D579" s="34"/>
      <c r="E579" s="34" t="s">
        <v>58</v>
      </c>
      <c r="F579" s="31" t="s">
        <v>659</v>
      </c>
      <c r="G579" s="34"/>
      <c r="H579" s="34" t="str">
        <f>IF(LEFT('PL1(Full)'!$F579,4)="Thôn","Thôn","Tổ")</f>
        <v>Thôn</v>
      </c>
      <c r="I579" s="36">
        <v>72</v>
      </c>
      <c r="J579" s="36">
        <v>310</v>
      </c>
      <c r="K579" s="36">
        <v>70</v>
      </c>
      <c r="L579" s="37">
        <f t="shared" si="0"/>
        <v>97.222222222222229</v>
      </c>
      <c r="M579" s="36">
        <v>34</v>
      </c>
      <c r="N579" s="38">
        <f t="shared" si="1"/>
        <v>47.222222222222221</v>
      </c>
      <c r="O579" s="35">
        <v>34</v>
      </c>
      <c r="P579" s="38">
        <f t="shared" si="2"/>
        <v>100</v>
      </c>
      <c r="Q579" s="39" t="s">
        <v>63</v>
      </c>
      <c r="R579" s="39" t="str">
        <f t="shared" si="3"/>
        <v>X</v>
      </c>
      <c r="S579" s="34" t="s">
        <v>60</v>
      </c>
      <c r="T579" s="34" t="str">
        <f>IF('PL1(Full)'!$N579&gt;=20,"x",IF(AND('PL1(Full)'!$N579&gt;=15,'PL1(Full)'!$P579&gt;60),"x",""))</f>
        <v>x</v>
      </c>
      <c r="U579" s="34" t="str">
        <f>IF(AND('PL1(Full)'!$H579="Thôn",'PL1(Full)'!$I579&lt;75),"x",IF(AND('PL1(Full)'!$H579="Tổ",'PL1(Full)'!$I579&lt;100),"x","-"))</f>
        <v>x</v>
      </c>
      <c r="V579" s="34" t="str">
        <f>IF(AND('PL1(Full)'!$H579="Thôn",'PL1(Full)'!$I579&lt;140),"x",IF(AND('PL1(Full)'!$H579="Tổ",'PL1(Full)'!$I579&lt;210),"x","-"))</f>
        <v>x</v>
      </c>
      <c r="W579" s="40" t="str">
        <f t="shared" si="114"/>
        <v>Loại 3</v>
      </c>
      <c r="X579" s="34"/>
    </row>
    <row r="580" spans="1:24" ht="15.75" customHeight="1">
      <c r="A580" s="30">
        <f>_xlfn.AGGREGATE(4,7,A$6:A579)+1</f>
        <v>410</v>
      </c>
      <c r="B580" s="31" t="str">
        <f t="shared" si="113"/>
        <v>H. Chợ Mới</v>
      </c>
      <c r="C580" s="31" t="str">
        <f t="shared" si="116"/>
        <v>X. Cao Kỳ</v>
      </c>
      <c r="D580" s="34"/>
      <c r="E580" s="34" t="s">
        <v>58</v>
      </c>
      <c r="F580" s="31" t="s">
        <v>660</v>
      </c>
      <c r="G580" s="34"/>
      <c r="H580" s="34" t="str">
        <f>IF(LEFT('PL1(Full)'!$F580,4)="Thôn","Thôn","Tổ")</f>
        <v>Thôn</v>
      </c>
      <c r="I580" s="36">
        <v>31</v>
      </c>
      <c r="J580" s="36">
        <v>130</v>
      </c>
      <c r="K580" s="36">
        <v>31</v>
      </c>
      <c r="L580" s="37">
        <f t="shared" si="0"/>
        <v>100</v>
      </c>
      <c r="M580" s="36">
        <v>22</v>
      </c>
      <c r="N580" s="38">
        <f t="shared" si="1"/>
        <v>70.967741935483872</v>
      </c>
      <c r="O580" s="35">
        <v>22</v>
      </c>
      <c r="P580" s="38">
        <f t="shared" si="2"/>
        <v>100</v>
      </c>
      <c r="Q580" s="39" t="s">
        <v>63</v>
      </c>
      <c r="R580" s="39" t="str">
        <f t="shared" si="3"/>
        <v>X</v>
      </c>
      <c r="S580" s="34" t="s">
        <v>60</v>
      </c>
      <c r="T580" s="34" t="str">
        <f>IF('PL1(Full)'!$N580&gt;=20,"x",IF(AND('PL1(Full)'!$N580&gt;=15,'PL1(Full)'!$P580&gt;60),"x",""))</f>
        <v>x</v>
      </c>
      <c r="U580" s="34" t="str">
        <f>IF(AND('PL1(Full)'!$H580="Thôn",'PL1(Full)'!$I580&lt;75),"x",IF(AND('PL1(Full)'!$H580="Tổ",'PL1(Full)'!$I580&lt;100),"x","-"))</f>
        <v>x</v>
      </c>
      <c r="V580" s="34" t="str">
        <f>IF(AND('PL1(Full)'!$H580="Thôn",'PL1(Full)'!$I580&lt;140),"x",IF(AND('PL1(Full)'!$H580="Tổ",'PL1(Full)'!$I580&lt;210),"x","-"))</f>
        <v>x</v>
      </c>
      <c r="W580" s="40" t="str">
        <f t="shared" si="114"/>
        <v>Loại 3</v>
      </c>
      <c r="X580" s="34"/>
    </row>
    <row r="581" spans="1:24" ht="15.75" customHeight="1">
      <c r="A581" s="30">
        <f>_xlfn.AGGREGATE(4,7,A$6:A580)+1</f>
        <v>411</v>
      </c>
      <c r="B581" s="31" t="str">
        <f t="shared" si="113"/>
        <v>H. Chợ Mới</v>
      </c>
      <c r="C581" s="31" t="str">
        <f t="shared" si="116"/>
        <v>X. Cao Kỳ</v>
      </c>
      <c r="D581" s="34"/>
      <c r="E581" s="34" t="s">
        <v>58</v>
      </c>
      <c r="F581" s="31" t="s">
        <v>661</v>
      </c>
      <c r="G581" s="34"/>
      <c r="H581" s="34" t="str">
        <f>IF(LEFT('PL1(Full)'!$F581,4)="Thôn","Thôn","Tổ")</f>
        <v>Thôn</v>
      </c>
      <c r="I581" s="36">
        <v>58</v>
      </c>
      <c r="J581" s="36">
        <v>248</v>
      </c>
      <c r="K581" s="36">
        <v>58</v>
      </c>
      <c r="L581" s="37">
        <f t="shared" si="0"/>
        <v>100</v>
      </c>
      <c r="M581" s="36">
        <v>14</v>
      </c>
      <c r="N581" s="38">
        <f t="shared" si="1"/>
        <v>24.137931034482758</v>
      </c>
      <c r="O581" s="35">
        <v>14</v>
      </c>
      <c r="P581" s="38">
        <f t="shared" si="2"/>
        <v>100</v>
      </c>
      <c r="Q581" s="39" t="s">
        <v>56</v>
      </c>
      <c r="R581" s="39" t="str">
        <f t="shared" si="3"/>
        <v>X</v>
      </c>
      <c r="S581" s="34" t="s">
        <v>60</v>
      </c>
      <c r="T581" s="34" t="str">
        <f>IF('PL1(Full)'!$N581&gt;=20,"x",IF(AND('PL1(Full)'!$N581&gt;=15,'PL1(Full)'!$P581&gt;60),"x",""))</f>
        <v>x</v>
      </c>
      <c r="U581" s="34" t="str">
        <f>IF(AND('PL1(Full)'!$H581="Thôn",'PL1(Full)'!$I581&lt;75),"x",IF(AND('PL1(Full)'!$H581="Tổ",'PL1(Full)'!$I581&lt;100),"x","-"))</f>
        <v>x</v>
      </c>
      <c r="V581" s="34" t="str">
        <f>IF(AND('PL1(Full)'!$H581="Thôn",'PL1(Full)'!$I581&lt;140),"x",IF(AND('PL1(Full)'!$H581="Tổ",'PL1(Full)'!$I581&lt;210),"x","-"))</f>
        <v>x</v>
      </c>
      <c r="W581" s="40" t="str">
        <f t="shared" si="114"/>
        <v>Loại 3</v>
      </c>
      <c r="X581" s="34"/>
    </row>
    <row r="582" spans="1:24" ht="15.75" customHeight="1">
      <c r="A582" s="30">
        <f>_xlfn.AGGREGATE(4,7,A$6:A581)+1</f>
        <v>412</v>
      </c>
      <c r="B582" s="31" t="str">
        <f t="shared" si="113"/>
        <v>H. Chợ Mới</v>
      </c>
      <c r="C582" s="31" t="str">
        <f t="shared" si="116"/>
        <v>X. Cao Kỳ</v>
      </c>
      <c r="D582" s="34"/>
      <c r="E582" s="34" t="s">
        <v>58</v>
      </c>
      <c r="F582" s="31" t="s">
        <v>662</v>
      </c>
      <c r="G582" s="34"/>
      <c r="H582" s="34" t="str">
        <f>IF(LEFT('PL1(Full)'!$F582,4)="Thôn","Thôn","Tổ")</f>
        <v>Thôn</v>
      </c>
      <c r="I582" s="36">
        <v>35</v>
      </c>
      <c r="J582" s="36">
        <v>155</v>
      </c>
      <c r="K582" s="36">
        <v>30</v>
      </c>
      <c r="L582" s="37">
        <f t="shared" si="0"/>
        <v>85.714285714285708</v>
      </c>
      <c r="M582" s="36">
        <v>1</v>
      </c>
      <c r="N582" s="38">
        <f t="shared" si="1"/>
        <v>2.8571428571428572</v>
      </c>
      <c r="O582" s="35">
        <v>1</v>
      </c>
      <c r="P582" s="38">
        <f t="shared" si="2"/>
        <v>100</v>
      </c>
      <c r="Q582" s="39" t="s">
        <v>63</v>
      </c>
      <c r="R582" s="39" t="str">
        <f t="shared" si="3"/>
        <v>X</v>
      </c>
      <c r="S582" s="34"/>
      <c r="T582" s="34" t="str">
        <f>IF('PL1(Full)'!$N582&gt;=20,"x",IF(AND('PL1(Full)'!$N582&gt;=15,'PL1(Full)'!$P582&gt;60),"x",""))</f>
        <v/>
      </c>
      <c r="U582" s="34" t="str">
        <f>IF(AND('PL1(Full)'!$H582="Thôn",'PL1(Full)'!$I582&lt;75),"x",IF(AND('PL1(Full)'!$H582="Tổ",'PL1(Full)'!$I582&lt;100),"x","-"))</f>
        <v>x</v>
      </c>
      <c r="V582" s="34" t="str">
        <f>IF(AND('PL1(Full)'!$H582="Thôn",'PL1(Full)'!$I582&lt;140),"x",IF(AND('PL1(Full)'!$H582="Tổ",'PL1(Full)'!$I582&lt;210),"x","-"))</f>
        <v>x</v>
      </c>
      <c r="W582" s="40" t="str">
        <f t="shared" si="114"/>
        <v>Loại 3</v>
      </c>
      <c r="X582" s="34"/>
    </row>
    <row r="583" spans="1:24" ht="15.75" customHeight="1">
      <c r="A583" s="41">
        <f>_xlfn.AGGREGATE(4,7,A$6:A582)+1</f>
        <v>413</v>
      </c>
      <c r="B583" s="42" t="str">
        <f t="shared" si="113"/>
        <v>H. Chợ Mới</v>
      </c>
      <c r="C583" s="42" t="str">
        <f t="shared" si="116"/>
        <v>X. Cao Kỳ</v>
      </c>
      <c r="D583" s="50"/>
      <c r="E583" s="50" t="s">
        <v>58</v>
      </c>
      <c r="F583" s="42" t="s">
        <v>663</v>
      </c>
      <c r="G583" s="50"/>
      <c r="H583" s="50" t="str">
        <f>IF(LEFT('PL1(Full)'!$F583,4)="Thôn","Thôn","Tổ")</f>
        <v>Thôn</v>
      </c>
      <c r="I583" s="46">
        <v>33</v>
      </c>
      <c r="J583" s="46">
        <v>145</v>
      </c>
      <c r="K583" s="46">
        <v>31</v>
      </c>
      <c r="L583" s="47">
        <f t="shared" si="0"/>
        <v>93.939393939393938</v>
      </c>
      <c r="M583" s="46">
        <v>0</v>
      </c>
      <c r="N583" s="48">
        <f t="shared" si="1"/>
        <v>0</v>
      </c>
      <c r="O583" s="45">
        <v>0</v>
      </c>
      <c r="P583" s="48">
        <f t="shared" si="2"/>
        <v>0</v>
      </c>
      <c r="Q583" s="49" t="s">
        <v>63</v>
      </c>
      <c r="R583" s="49" t="str">
        <f t="shared" si="3"/>
        <v>X</v>
      </c>
      <c r="S583" s="50"/>
      <c r="T583" s="50" t="str">
        <f>IF('PL1(Full)'!$N583&gt;=20,"x",IF(AND('PL1(Full)'!$N583&gt;=15,'PL1(Full)'!$P583&gt;60),"x",""))</f>
        <v/>
      </c>
      <c r="U583" s="50" t="str">
        <f>IF(AND('PL1(Full)'!$H583="Thôn",'PL1(Full)'!$I583&lt;75),"x",IF(AND('PL1(Full)'!$H583="Tổ",'PL1(Full)'!$I583&lt;100),"x","-"))</f>
        <v>x</v>
      </c>
      <c r="V583" s="34" t="str">
        <f>IF(AND('PL1(Full)'!$H583="Thôn",'PL1(Full)'!$I583&lt;140),"x",IF(AND('PL1(Full)'!$H583="Tổ",'PL1(Full)'!$I583&lt;210),"x","-"))</f>
        <v>x</v>
      </c>
      <c r="W583" s="51" t="str">
        <f t="shared" si="114"/>
        <v>Loại 3</v>
      </c>
      <c r="X583" s="50"/>
    </row>
    <row r="584" spans="1:24" ht="15.75" hidden="1" customHeight="1">
      <c r="A584" s="52">
        <f>_xlfn.AGGREGATE(4,7,A$6:A583)+1</f>
        <v>414</v>
      </c>
      <c r="B584" s="14" t="str">
        <f t="shared" si="113"/>
        <v>H. Chợ Mới</v>
      </c>
      <c r="C584" s="14" t="s">
        <v>664</v>
      </c>
      <c r="D584" s="25" t="s">
        <v>58</v>
      </c>
      <c r="E584" s="25" t="s">
        <v>58</v>
      </c>
      <c r="F584" s="14" t="s">
        <v>457</v>
      </c>
      <c r="G584" s="25"/>
      <c r="H584" s="25" t="str">
        <f>IF(LEFT('PL1(Full)'!$F584,4)="Thôn","Thôn","Tổ")</f>
        <v>Thôn</v>
      </c>
      <c r="I584" s="20">
        <v>92</v>
      </c>
      <c r="J584" s="20">
        <v>331</v>
      </c>
      <c r="K584" s="20">
        <v>91</v>
      </c>
      <c r="L584" s="21">
        <f t="shared" si="0"/>
        <v>98.913043478260875</v>
      </c>
      <c r="M584" s="20">
        <v>20</v>
      </c>
      <c r="N584" s="22">
        <f t="shared" si="1"/>
        <v>21.739130434782609</v>
      </c>
      <c r="O584" s="20">
        <v>20</v>
      </c>
      <c r="P584" s="22">
        <f t="shared" si="2"/>
        <v>100</v>
      </c>
      <c r="Q584" s="23" t="s">
        <v>49</v>
      </c>
      <c r="R584" s="24" t="str">
        <f t="shared" si="3"/>
        <v>X</v>
      </c>
      <c r="S584" s="25" t="s">
        <v>60</v>
      </c>
      <c r="T584" s="26" t="str">
        <f>IF('PL1(Full)'!$N584&gt;=20,"x",IF(AND('PL1(Full)'!$N584&gt;=15,'PL1(Full)'!$P584&gt;60),"x",""))</f>
        <v>x</v>
      </c>
      <c r="U584" s="27" t="str">
        <f>IF(AND('PL1(Full)'!$H584="Thôn",'PL1(Full)'!$I584&lt;75),"x",IF(AND('PL1(Full)'!$H584="Tổ",'PL1(Full)'!$I584&lt;100),"x","-"))</f>
        <v>-</v>
      </c>
      <c r="V584" s="28" t="str">
        <f>IF(AND('PL1(Full)'!$H584="Thôn",'PL1(Full)'!$I584&lt;140),"x",IF(AND('PL1(Full)'!$H584="Tổ",'PL1(Full)'!$I584&lt;210),"x","-"))</f>
        <v>x</v>
      </c>
      <c r="W584" s="29" t="str">
        <f t="shared" si="114"/>
        <v>Loại 3</v>
      </c>
      <c r="X584" s="25"/>
    </row>
    <row r="585" spans="1:24" ht="15.75" hidden="1" customHeight="1">
      <c r="A585" s="30">
        <f>_xlfn.AGGREGATE(4,7,A$6:A584)+1</f>
        <v>414</v>
      </c>
      <c r="B585" s="31" t="str">
        <f t="shared" si="113"/>
        <v>H. Chợ Mới</v>
      </c>
      <c r="C585" s="31" t="str">
        <f t="shared" ref="C585:C591" si="117">C584</f>
        <v>X. Hòa Mục</v>
      </c>
      <c r="D585" s="34"/>
      <c r="E585" s="34" t="s">
        <v>58</v>
      </c>
      <c r="F585" s="31" t="s">
        <v>619</v>
      </c>
      <c r="G585" s="34"/>
      <c r="H585" s="34" t="str">
        <f>IF(LEFT('PL1(Full)'!$F585,4)="Thôn","Thôn","Tổ")</f>
        <v>Thôn</v>
      </c>
      <c r="I585" s="36">
        <v>107</v>
      </c>
      <c r="J585" s="36">
        <v>407</v>
      </c>
      <c r="K585" s="36">
        <v>107</v>
      </c>
      <c r="L585" s="37">
        <f t="shared" si="0"/>
        <v>100</v>
      </c>
      <c r="M585" s="36">
        <v>14</v>
      </c>
      <c r="N585" s="38">
        <f t="shared" si="1"/>
        <v>13.084112149532711</v>
      </c>
      <c r="O585" s="36">
        <v>14</v>
      </c>
      <c r="P585" s="38">
        <f t="shared" si="2"/>
        <v>100</v>
      </c>
      <c r="Q585" s="39" t="s">
        <v>56</v>
      </c>
      <c r="R585" s="39" t="str">
        <f t="shared" si="3"/>
        <v>X</v>
      </c>
      <c r="S585" s="34"/>
      <c r="T585" s="34" t="str">
        <f>IF('PL1(Full)'!$N585&gt;=20,"x",IF(AND('PL1(Full)'!$N585&gt;=15,'PL1(Full)'!$P585&gt;60),"x",""))</f>
        <v/>
      </c>
      <c r="U585" s="34" t="str">
        <f>IF(AND('PL1(Full)'!$H585="Thôn",'PL1(Full)'!$I585&lt;75),"x",IF(AND('PL1(Full)'!$H585="Tổ",'PL1(Full)'!$I585&lt;100),"x","-"))</f>
        <v>-</v>
      </c>
      <c r="V585" s="34" t="str">
        <f>IF(AND('PL1(Full)'!$H585="Thôn",'PL1(Full)'!$I585&lt;140),"x",IF(AND('PL1(Full)'!$H585="Tổ",'PL1(Full)'!$I585&lt;210),"x","-"))</f>
        <v>x</v>
      </c>
      <c r="W585" s="40" t="str">
        <f t="shared" si="114"/>
        <v>Loại 2</v>
      </c>
      <c r="X585" s="34"/>
    </row>
    <row r="586" spans="1:24" ht="15.75" hidden="1" customHeight="1">
      <c r="A586" s="30">
        <f>_xlfn.AGGREGATE(4,7,A$6:A585)+1</f>
        <v>414</v>
      </c>
      <c r="B586" s="31" t="str">
        <f t="shared" si="113"/>
        <v>H. Chợ Mới</v>
      </c>
      <c r="C586" s="31" t="str">
        <f t="shared" si="117"/>
        <v>X. Hòa Mục</v>
      </c>
      <c r="D586" s="34"/>
      <c r="E586" s="34" t="s">
        <v>58</v>
      </c>
      <c r="F586" s="31" t="s">
        <v>665</v>
      </c>
      <c r="G586" s="34"/>
      <c r="H586" s="34" t="str">
        <f>IF(LEFT('PL1(Full)'!$F586,4)="Thôn","Thôn","Tổ")</f>
        <v>Thôn</v>
      </c>
      <c r="I586" s="36">
        <v>91</v>
      </c>
      <c r="J586" s="36">
        <v>380</v>
      </c>
      <c r="K586" s="36">
        <v>90</v>
      </c>
      <c r="L586" s="37">
        <f t="shared" si="0"/>
        <v>98.901098901098905</v>
      </c>
      <c r="M586" s="36">
        <v>14</v>
      </c>
      <c r="N586" s="38">
        <f t="shared" si="1"/>
        <v>15.384615384615385</v>
      </c>
      <c r="O586" s="36">
        <v>14</v>
      </c>
      <c r="P586" s="38">
        <f t="shared" si="2"/>
        <v>100</v>
      </c>
      <c r="Q586" s="39" t="s">
        <v>56</v>
      </c>
      <c r="R586" s="39" t="str">
        <f t="shared" si="3"/>
        <v>X</v>
      </c>
      <c r="S586" s="34"/>
      <c r="T586" s="34" t="str">
        <f>IF('PL1(Full)'!$N586&gt;=20,"x",IF(AND('PL1(Full)'!$N586&gt;=15,'PL1(Full)'!$P586&gt;60),"x",""))</f>
        <v>x</v>
      </c>
      <c r="U586" s="34" t="str">
        <f>IF(AND('PL1(Full)'!$H586="Thôn",'PL1(Full)'!$I586&lt;75),"x",IF(AND('PL1(Full)'!$H586="Tổ",'PL1(Full)'!$I586&lt;100),"x","-"))</f>
        <v>-</v>
      </c>
      <c r="V586" s="34" t="str">
        <f>IF(AND('PL1(Full)'!$H586="Thôn",'PL1(Full)'!$I586&lt;140),"x",IF(AND('PL1(Full)'!$H586="Tổ",'PL1(Full)'!$I586&lt;210),"x","-"))</f>
        <v>x</v>
      </c>
      <c r="W586" s="40" t="str">
        <f t="shared" si="114"/>
        <v>Loại 3</v>
      </c>
      <c r="X586" s="34"/>
    </row>
    <row r="587" spans="1:24" ht="15.75" hidden="1" customHeight="1">
      <c r="A587" s="30">
        <f>_xlfn.AGGREGATE(4,7,A$6:A586)+1</f>
        <v>414</v>
      </c>
      <c r="B587" s="31" t="str">
        <f t="shared" si="113"/>
        <v>H. Chợ Mới</v>
      </c>
      <c r="C587" s="31" t="str">
        <f t="shared" si="117"/>
        <v>X. Hòa Mục</v>
      </c>
      <c r="D587" s="34"/>
      <c r="E587" s="34" t="s">
        <v>58</v>
      </c>
      <c r="F587" s="31" t="s">
        <v>666</v>
      </c>
      <c r="G587" s="34"/>
      <c r="H587" s="34" t="str">
        <f>IF(LEFT('PL1(Full)'!$F587,4)="Thôn","Thôn","Tổ")</f>
        <v>Thôn</v>
      </c>
      <c r="I587" s="36">
        <v>98</v>
      </c>
      <c r="J587" s="36">
        <v>368</v>
      </c>
      <c r="K587" s="36">
        <v>97</v>
      </c>
      <c r="L587" s="37">
        <f t="shared" si="0"/>
        <v>98.979591836734699</v>
      </c>
      <c r="M587" s="36">
        <v>9</v>
      </c>
      <c r="N587" s="38">
        <f t="shared" si="1"/>
        <v>9.183673469387756</v>
      </c>
      <c r="O587" s="36">
        <v>9</v>
      </c>
      <c r="P587" s="38">
        <f t="shared" si="2"/>
        <v>100</v>
      </c>
      <c r="Q587" s="39" t="s">
        <v>56</v>
      </c>
      <c r="R587" s="39" t="str">
        <f t="shared" si="3"/>
        <v>X</v>
      </c>
      <c r="S587" s="34"/>
      <c r="T587" s="34" t="str">
        <f>IF('PL1(Full)'!$N587&gt;=20,"x",IF(AND('PL1(Full)'!$N587&gt;=15,'PL1(Full)'!$P587&gt;60),"x",""))</f>
        <v/>
      </c>
      <c r="U587" s="34" t="str">
        <f>IF(AND('PL1(Full)'!$H587="Thôn",'PL1(Full)'!$I587&lt;75),"x",IF(AND('PL1(Full)'!$H587="Tổ",'PL1(Full)'!$I587&lt;100),"x","-"))</f>
        <v>-</v>
      </c>
      <c r="V587" s="34" t="str">
        <f>IF(AND('PL1(Full)'!$H587="Thôn",'PL1(Full)'!$I587&lt;140),"x",IF(AND('PL1(Full)'!$H587="Tổ",'PL1(Full)'!$I587&lt;210),"x","-"))</f>
        <v>x</v>
      </c>
      <c r="W587" s="40" t="str">
        <f t="shared" si="114"/>
        <v>Loại 3</v>
      </c>
      <c r="X587" s="34"/>
    </row>
    <row r="588" spans="1:24" ht="15.75" hidden="1" customHeight="1">
      <c r="A588" s="30">
        <f>_xlfn.AGGREGATE(4,7,A$6:A587)+1</f>
        <v>414</v>
      </c>
      <c r="B588" s="31" t="str">
        <f t="shared" si="113"/>
        <v>H. Chợ Mới</v>
      </c>
      <c r="C588" s="31" t="str">
        <f t="shared" si="117"/>
        <v>X. Hòa Mục</v>
      </c>
      <c r="D588" s="34"/>
      <c r="E588" s="34" t="s">
        <v>58</v>
      </c>
      <c r="F588" s="31" t="s">
        <v>667</v>
      </c>
      <c r="G588" s="34"/>
      <c r="H588" s="34" t="str">
        <f>IF(LEFT('PL1(Full)'!$F588,4)="Thôn","Thôn","Tổ")</f>
        <v>Thôn</v>
      </c>
      <c r="I588" s="36">
        <v>76</v>
      </c>
      <c r="J588" s="36">
        <v>307</v>
      </c>
      <c r="K588" s="36">
        <v>76</v>
      </c>
      <c r="L588" s="37">
        <f t="shared" si="0"/>
        <v>100</v>
      </c>
      <c r="M588" s="36">
        <v>30</v>
      </c>
      <c r="N588" s="38">
        <f t="shared" si="1"/>
        <v>39.473684210526315</v>
      </c>
      <c r="O588" s="36">
        <v>30</v>
      </c>
      <c r="P588" s="38">
        <f t="shared" si="2"/>
        <v>100</v>
      </c>
      <c r="Q588" s="39" t="s">
        <v>56</v>
      </c>
      <c r="R588" s="39" t="str">
        <f t="shared" si="3"/>
        <v>X</v>
      </c>
      <c r="S588" s="34" t="s">
        <v>60</v>
      </c>
      <c r="T588" s="34" t="str">
        <f>IF('PL1(Full)'!$N588&gt;=20,"x",IF(AND('PL1(Full)'!$N588&gt;=15,'PL1(Full)'!$P588&gt;60),"x",""))</f>
        <v>x</v>
      </c>
      <c r="U588" s="34" t="str">
        <f>IF(AND('PL1(Full)'!$H588="Thôn",'PL1(Full)'!$I588&lt;75),"x",IF(AND('PL1(Full)'!$H588="Tổ",'PL1(Full)'!$I588&lt;100),"x","-"))</f>
        <v>-</v>
      </c>
      <c r="V588" s="34" t="str">
        <f>IF(AND('PL1(Full)'!$H588="Thôn",'PL1(Full)'!$I588&lt;140),"x",IF(AND('PL1(Full)'!$H588="Tổ",'PL1(Full)'!$I588&lt;210),"x","-"))</f>
        <v>x</v>
      </c>
      <c r="W588" s="40" t="str">
        <f t="shared" si="114"/>
        <v>Loại 3</v>
      </c>
      <c r="X588" s="34"/>
    </row>
    <row r="589" spans="1:24" ht="15.75" customHeight="1">
      <c r="A589" s="30">
        <f>_xlfn.AGGREGATE(4,7,A$6:A588)+1</f>
        <v>414</v>
      </c>
      <c r="B589" s="31" t="str">
        <f t="shared" si="113"/>
        <v>H. Chợ Mới</v>
      </c>
      <c r="C589" s="31" t="str">
        <f t="shared" si="117"/>
        <v>X. Hòa Mục</v>
      </c>
      <c r="D589" s="34"/>
      <c r="E589" s="34" t="s">
        <v>58</v>
      </c>
      <c r="F589" s="31" t="s">
        <v>668</v>
      </c>
      <c r="G589" s="34"/>
      <c r="H589" s="34" t="str">
        <f>IF(LEFT('PL1(Full)'!$F589,4)="Thôn","Thôn","Tổ")</f>
        <v>Thôn</v>
      </c>
      <c r="I589" s="36">
        <v>25</v>
      </c>
      <c r="J589" s="36">
        <v>100</v>
      </c>
      <c r="K589" s="36">
        <v>25</v>
      </c>
      <c r="L589" s="37">
        <f t="shared" si="0"/>
        <v>100</v>
      </c>
      <c r="M589" s="36">
        <v>14</v>
      </c>
      <c r="N589" s="38">
        <f t="shared" si="1"/>
        <v>56</v>
      </c>
      <c r="O589" s="36">
        <v>14</v>
      </c>
      <c r="P589" s="38">
        <f t="shared" si="2"/>
        <v>100</v>
      </c>
      <c r="Q589" s="39" t="s">
        <v>63</v>
      </c>
      <c r="R589" s="39" t="str">
        <f t="shared" si="3"/>
        <v>X</v>
      </c>
      <c r="S589" s="34" t="s">
        <v>60</v>
      </c>
      <c r="T589" s="34" t="str">
        <f>IF('PL1(Full)'!$N589&gt;=20,"x",IF(AND('PL1(Full)'!$N589&gt;=15,'PL1(Full)'!$P589&gt;60),"x",""))</f>
        <v>x</v>
      </c>
      <c r="U589" s="34" t="str">
        <f>IF(AND('PL1(Full)'!$H589="Thôn",'PL1(Full)'!$I589&lt;75),"x",IF(AND('PL1(Full)'!$H589="Tổ",'PL1(Full)'!$I589&lt;100),"x","-"))</f>
        <v>x</v>
      </c>
      <c r="V589" s="34" t="str">
        <f>IF(AND('PL1(Full)'!$H589="Thôn",'PL1(Full)'!$I589&lt;140),"x",IF(AND('PL1(Full)'!$H589="Tổ",'PL1(Full)'!$I589&lt;210),"x","-"))</f>
        <v>x</v>
      </c>
      <c r="W589" s="40" t="str">
        <f t="shared" si="114"/>
        <v>Loại 3</v>
      </c>
      <c r="X589" s="34"/>
    </row>
    <row r="590" spans="1:24" ht="15.75" customHeight="1">
      <c r="A590" s="30">
        <f>_xlfn.AGGREGATE(4,7,A$6:A589)+1</f>
        <v>415</v>
      </c>
      <c r="B590" s="31" t="str">
        <f t="shared" si="113"/>
        <v>H. Chợ Mới</v>
      </c>
      <c r="C590" s="31" t="str">
        <f t="shared" si="117"/>
        <v>X. Hòa Mục</v>
      </c>
      <c r="D590" s="34"/>
      <c r="E590" s="34" t="s">
        <v>58</v>
      </c>
      <c r="F590" s="31" t="s">
        <v>669</v>
      </c>
      <c r="G590" s="34"/>
      <c r="H590" s="34" t="str">
        <f>IF(LEFT('PL1(Full)'!$F590,4)="Thôn","Thôn","Tổ")</f>
        <v>Thôn</v>
      </c>
      <c r="I590" s="36">
        <v>66</v>
      </c>
      <c r="J590" s="36">
        <v>232</v>
      </c>
      <c r="K590" s="36">
        <v>66</v>
      </c>
      <c r="L590" s="37">
        <f t="shared" si="0"/>
        <v>100</v>
      </c>
      <c r="M590" s="36">
        <v>8</v>
      </c>
      <c r="N590" s="38">
        <f t="shared" si="1"/>
        <v>12.121212121212121</v>
      </c>
      <c r="O590" s="36">
        <v>8</v>
      </c>
      <c r="P590" s="38">
        <f t="shared" si="2"/>
        <v>100</v>
      </c>
      <c r="Q590" s="39" t="s">
        <v>56</v>
      </c>
      <c r="R590" s="39" t="str">
        <f t="shared" si="3"/>
        <v>X</v>
      </c>
      <c r="S590" s="34"/>
      <c r="T590" s="34" t="str">
        <f>IF('PL1(Full)'!$N590&gt;=20,"x",IF(AND('PL1(Full)'!$N590&gt;=15,'PL1(Full)'!$P590&gt;60),"x",""))</f>
        <v/>
      </c>
      <c r="U590" s="34" t="str">
        <f>IF(AND('PL1(Full)'!$H590="Thôn",'PL1(Full)'!$I590&lt;75),"x",IF(AND('PL1(Full)'!$H590="Tổ",'PL1(Full)'!$I590&lt;100),"x","-"))</f>
        <v>x</v>
      </c>
      <c r="V590" s="34" t="str">
        <f>IF(AND('PL1(Full)'!$H590="Thôn",'PL1(Full)'!$I590&lt;140),"x",IF(AND('PL1(Full)'!$H590="Tổ",'PL1(Full)'!$I590&lt;210),"x","-"))</f>
        <v>x</v>
      </c>
      <c r="W590" s="40" t="str">
        <f t="shared" si="114"/>
        <v>Loại 3</v>
      </c>
      <c r="X590" s="34"/>
    </row>
    <row r="591" spans="1:24" ht="15.75" customHeight="1">
      <c r="A591" s="41">
        <f>_xlfn.AGGREGATE(4,7,A$6:A590)+1</f>
        <v>416</v>
      </c>
      <c r="B591" s="42" t="str">
        <f t="shared" si="113"/>
        <v>H. Chợ Mới</v>
      </c>
      <c r="C591" s="42" t="str">
        <f t="shared" si="117"/>
        <v>X. Hòa Mục</v>
      </c>
      <c r="D591" s="50"/>
      <c r="E591" s="50" t="s">
        <v>58</v>
      </c>
      <c r="F591" s="42" t="s">
        <v>670</v>
      </c>
      <c r="G591" s="50"/>
      <c r="H591" s="50" t="str">
        <f>IF(LEFT('PL1(Full)'!$F591,4)="Thôn","Thôn","Tổ")</f>
        <v>Thôn</v>
      </c>
      <c r="I591" s="46">
        <v>55</v>
      </c>
      <c r="J591" s="46">
        <v>238</v>
      </c>
      <c r="K591" s="46">
        <v>55</v>
      </c>
      <c r="L591" s="47">
        <f t="shared" si="0"/>
        <v>100</v>
      </c>
      <c r="M591" s="46">
        <v>31</v>
      </c>
      <c r="N591" s="48">
        <f t="shared" si="1"/>
        <v>56.363636363636367</v>
      </c>
      <c r="O591" s="46">
        <v>31</v>
      </c>
      <c r="P591" s="48">
        <f t="shared" si="2"/>
        <v>100</v>
      </c>
      <c r="Q591" s="49" t="s">
        <v>56</v>
      </c>
      <c r="R591" s="49" t="str">
        <f t="shared" si="3"/>
        <v>X</v>
      </c>
      <c r="S591" s="50" t="s">
        <v>60</v>
      </c>
      <c r="T591" s="50" t="str">
        <f>IF('PL1(Full)'!$N591&gt;=20,"x",IF(AND('PL1(Full)'!$N591&gt;=15,'PL1(Full)'!$P591&gt;60),"x",""))</f>
        <v>x</v>
      </c>
      <c r="U591" s="50" t="str">
        <f>IF(AND('PL1(Full)'!$H591="Thôn",'PL1(Full)'!$I591&lt;75),"x",IF(AND('PL1(Full)'!$H591="Tổ",'PL1(Full)'!$I591&lt;100),"x","-"))</f>
        <v>x</v>
      </c>
      <c r="V591" s="34" t="str">
        <f>IF(AND('PL1(Full)'!$H591="Thôn",'PL1(Full)'!$I591&lt;140),"x",IF(AND('PL1(Full)'!$H591="Tổ",'PL1(Full)'!$I591&lt;210),"x","-"))</f>
        <v>x</v>
      </c>
      <c r="W591" s="51" t="str">
        <f t="shared" si="114"/>
        <v>Loại 3</v>
      </c>
      <c r="X591" s="50"/>
    </row>
    <row r="592" spans="1:24" ht="15.75" hidden="1" customHeight="1">
      <c r="A592" s="52">
        <f>_xlfn.AGGREGATE(4,7,A$6:A591)+1</f>
        <v>417</v>
      </c>
      <c r="B592" s="14" t="str">
        <f t="shared" si="113"/>
        <v>H. Chợ Mới</v>
      </c>
      <c r="C592" s="14" t="s">
        <v>671</v>
      </c>
      <c r="D592" s="25" t="s">
        <v>58</v>
      </c>
      <c r="E592" s="25" t="s">
        <v>58</v>
      </c>
      <c r="F592" s="14" t="s">
        <v>672</v>
      </c>
      <c r="G592" s="25" t="s">
        <v>40</v>
      </c>
      <c r="H592" s="25" t="str">
        <f>IF(LEFT('PL1(Full)'!$F592,4)="Thôn","Thôn","Tổ")</f>
        <v>Thôn</v>
      </c>
      <c r="I592" s="20">
        <v>87</v>
      </c>
      <c r="J592" s="20">
        <v>375</v>
      </c>
      <c r="K592" s="20">
        <v>63</v>
      </c>
      <c r="L592" s="21">
        <f t="shared" si="0"/>
        <v>72.41379310344827</v>
      </c>
      <c r="M592" s="19">
        <v>24</v>
      </c>
      <c r="N592" s="22">
        <f t="shared" si="1"/>
        <v>27.586206896551722</v>
      </c>
      <c r="O592" s="20">
        <v>16</v>
      </c>
      <c r="P592" s="22">
        <f t="shared" si="2"/>
        <v>66.666666666666671</v>
      </c>
      <c r="Q592" s="23" t="s">
        <v>49</v>
      </c>
      <c r="R592" s="24" t="str">
        <f t="shared" si="3"/>
        <v>X</v>
      </c>
      <c r="S592" s="25" t="s">
        <v>60</v>
      </c>
      <c r="T592" s="26" t="str">
        <f>IF('PL1(Full)'!$N592&gt;=20,"x",IF(AND('PL1(Full)'!$N592&gt;=15,'PL1(Full)'!$P592&gt;60),"x",""))</f>
        <v>x</v>
      </c>
      <c r="U592" s="27" t="str">
        <f>IF(AND('PL1(Full)'!$H592="Thôn",'PL1(Full)'!$I592&lt;75),"x",IF(AND('PL1(Full)'!$H592="Tổ",'PL1(Full)'!$I592&lt;100),"x","-"))</f>
        <v>-</v>
      </c>
      <c r="V592" s="28" t="str">
        <f>IF(AND('PL1(Full)'!$H592="Thôn",'PL1(Full)'!$I592&lt;140),"x",IF(AND('PL1(Full)'!$H592="Tổ",'PL1(Full)'!$I592&lt;210),"x","-"))</f>
        <v>x</v>
      </c>
      <c r="W592" s="29" t="str">
        <f t="shared" si="114"/>
        <v>Loại 3</v>
      </c>
      <c r="X592" s="25"/>
    </row>
    <row r="593" spans="1:24" ht="15.75" customHeight="1">
      <c r="A593" s="30">
        <f>_xlfn.AGGREGATE(4,7,A$6:A592)+1</f>
        <v>417</v>
      </c>
      <c r="B593" s="31" t="str">
        <f t="shared" si="113"/>
        <v>H. Chợ Mới</v>
      </c>
      <c r="C593" s="31" t="str">
        <f t="shared" ref="C593:C596" si="118">C592</f>
        <v>X. Mai Lạp</v>
      </c>
      <c r="D593" s="34"/>
      <c r="E593" s="34" t="s">
        <v>58</v>
      </c>
      <c r="F593" s="31" t="s">
        <v>673</v>
      </c>
      <c r="G593" s="34"/>
      <c r="H593" s="34" t="str">
        <f>IF(LEFT('PL1(Full)'!$F593,4)="Thôn","Thôn","Tổ")</f>
        <v>Thôn</v>
      </c>
      <c r="I593" s="36">
        <v>74</v>
      </c>
      <c r="J593" s="36">
        <v>252</v>
      </c>
      <c r="K593" s="36">
        <v>56</v>
      </c>
      <c r="L593" s="37">
        <f t="shared" si="0"/>
        <v>75.675675675675677</v>
      </c>
      <c r="M593" s="35">
        <v>30</v>
      </c>
      <c r="N593" s="38">
        <f t="shared" si="1"/>
        <v>40.54054054054054</v>
      </c>
      <c r="O593" s="36">
        <v>22</v>
      </c>
      <c r="P593" s="38">
        <f t="shared" si="2"/>
        <v>73.333333333333329</v>
      </c>
      <c r="Q593" s="39" t="s">
        <v>674</v>
      </c>
      <c r="R593" s="39" t="str">
        <f t="shared" si="3"/>
        <v>X</v>
      </c>
      <c r="S593" s="34" t="s">
        <v>60</v>
      </c>
      <c r="T593" s="34" t="str">
        <f>IF('PL1(Full)'!$N593&gt;=20,"x",IF(AND('PL1(Full)'!$N593&gt;=15,'PL1(Full)'!$P593&gt;60),"x",""))</f>
        <v>x</v>
      </c>
      <c r="U593" s="34" t="str">
        <f>IF(AND('PL1(Full)'!$H593="Thôn",'PL1(Full)'!$I593&lt;75),"x",IF(AND('PL1(Full)'!$H593="Tổ",'PL1(Full)'!$I593&lt;100),"x","-"))</f>
        <v>x</v>
      </c>
      <c r="V593" s="34" t="str">
        <f>IF(AND('PL1(Full)'!$H593="Thôn",'PL1(Full)'!$I593&lt;140),"x",IF(AND('PL1(Full)'!$H593="Tổ",'PL1(Full)'!$I593&lt;210),"x","-"))</f>
        <v>x</v>
      </c>
      <c r="W593" s="40" t="str">
        <f t="shared" si="114"/>
        <v>Loại 3</v>
      </c>
      <c r="X593" s="34"/>
    </row>
    <row r="594" spans="1:24" ht="15.75" hidden="1" customHeight="1">
      <c r="A594" s="30">
        <f>_xlfn.AGGREGATE(4,7,A$6:A593)+1</f>
        <v>418</v>
      </c>
      <c r="B594" s="31" t="str">
        <f t="shared" si="113"/>
        <v>H. Chợ Mới</v>
      </c>
      <c r="C594" s="31" t="str">
        <f t="shared" si="118"/>
        <v>X. Mai Lạp</v>
      </c>
      <c r="D594" s="34"/>
      <c r="E594" s="34" t="s">
        <v>58</v>
      </c>
      <c r="F594" s="31" t="s">
        <v>675</v>
      </c>
      <c r="G594" s="34" t="s">
        <v>40</v>
      </c>
      <c r="H594" s="34" t="str">
        <f>IF(LEFT('PL1(Full)'!$F594,4)="Thôn","Thôn","Tổ")</f>
        <v>Thôn</v>
      </c>
      <c r="I594" s="36">
        <v>103</v>
      </c>
      <c r="J594" s="36">
        <v>408</v>
      </c>
      <c r="K594" s="36">
        <v>90</v>
      </c>
      <c r="L594" s="37">
        <f t="shared" si="0"/>
        <v>87.378640776699029</v>
      </c>
      <c r="M594" s="35">
        <v>41</v>
      </c>
      <c r="N594" s="38">
        <f t="shared" si="1"/>
        <v>39.805825242718448</v>
      </c>
      <c r="O594" s="36">
        <v>38</v>
      </c>
      <c r="P594" s="38">
        <f t="shared" si="2"/>
        <v>92.682926829268297</v>
      </c>
      <c r="Q594" s="39" t="s">
        <v>674</v>
      </c>
      <c r="R594" s="39" t="str">
        <f t="shared" si="3"/>
        <v>X</v>
      </c>
      <c r="S594" s="34" t="s">
        <v>60</v>
      </c>
      <c r="T594" s="34" t="str">
        <f>IF('PL1(Full)'!$N594&gt;=20,"x",IF(AND('PL1(Full)'!$N594&gt;=15,'PL1(Full)'!$P594&gt;60),"x",""))</f>
        <v>x</v>
      </c>
      <c r="U594" s="34" t="str">
        <f>IF(AND('PL1(Full)'!$H594="Thôn",'PL1(Full)'!$I594&lt;75),"x",IF(AND('PL1(Full)'!$H594="Tổ",'PL1(Full)'!$I594&lt;100),"x","-"))</f>
        <v>-</v>
      </c>
      <c r="V594" s="34" t="str">
        <f>IF(AND('PL1(Full)'!$H594="Thôn",'PL1(Full)'!$I594&lt;140),"x",IF(AND('PL1(Full)'!$H594="Tổ",'PL1(Full)'!$I594&lt;210),"x","-"))</f>
        <v>x</v>
      </c>
      <c r="W594" s="40" t="str">
        <f t="shared" si="114"/>
        <v>Loại 2</v>
      </c>
      <c r="X594" s="34"/>
    </row>
    <row r="595" spans="1:24" ht="15.75" hidden="1" customHeight="1">
      <c r="A595" s="30">
        <f>_xlfn.AGGREGATE(4,7,A$6:A594)+1</f>
        <v>418</v>
      </c>
      <c r="B595" s="31" t="str">
        <f t="shared" si="113"/>
        <v>H. Chợ Mới</v>
      </c>
      <c r="C595" s="31" t="str">
        <f t="shared" si="118"/>
        <v>X. Mai Lạp</v>
      </c>
      <c r="D595" s="34"/>
      <c r="E595" s="34" t="s">
        <v>58</v>
      </c>
      <c r="F595" s="31" t="s">
        <v>676</v>
      </c>
      <c r="G595" s="34"/>
      <c r="H595" s="34" t="str">
        <f>IF(LEFT('PL1(Full)'!$F595,4)="Thôn","Thôn","Tổ")</f>
        <v>Thôn</v>
      </c>
      <c r="I595" s="36">
        <v>86</v>
      </c>
      <c r="J595" s="36">
        <v>371</v>
      </c>
      <c r="K595" s="36">
        <v>81</v>
      </c>
      <c r="L595" s="37">
        <f t="shared" si="0"/>
        <v>94.186046511627907</v>
      </c>
      <c r="M595" s="35">
        <v>25</v>
      </c>
      <c r="N595" s="38">
        <f t="shared" si="1"/>
        <v>29.069767441860463</v>
      </c>
      <c r="O595" s="36">
        <v>24</v>
      </c>
      <c r="P595" s="38">
        <f t="shared" si="2"/>
        <v>96</v>
      </c>
      <c r="Q595" s="39" t="s">
        <v>43</v>
      </c>
      <c r="R595" s="39" t="str">
        <f t="shared" si="3"/>
        <v>X</v>
      </c>
      <c r="S595" s="34"/>
      <c r="T595" s="34" t="str">
        <f>IF('PL1(Full)'!$N595&gt;=20,"x",IF(AND('PL1(Full)'!$N595&gt;=15,'PL1(Full)'!$P595&gt;60),"x",""))</f>
        <v>x</v>
      </c>
      <c r="U595" s="34" t="str">
        <f>IF(AND('PL1(Full)'!$H595="Thôn",'PL1(Full)'!$I595&lt;75),"x",IF(AND('PL1(Full)'!$H595="Tổ",'PL1(Full)'!$I595&lt;100),"x","-"))</f>
        <v>-</v>
      </c>
      <c r="V595" s="34" t="str">
        <f>IF(AND('PL1(Full)'!$H595="Thôn",'PL1(Full)'!$I595&lt;140),"x",IF(AND('PL1(Full)'!$H595="Tổ",'PL1(Full)'!$I595&lt;210),"x","-"))</f>
        <v>x</v>
      </c>
      <c r="W595" s="40" t="str">
        <f t="shared" si="114"/>
        <v>Loại 3</v>
      </c>
      <c r="X595" s="34"/>
    </row>
    <row r="596" spans="1:24" ht="15.75" hidden="1" customHeight="1">
      <c r="A596" s="41">
        <f>_xlfn.AGGREGATE(4,7,A$6:A595)+1</f>
        <v>418</v>
      </c>
      <c r="B596" s="42" t="str">
        <f t="shared" si="113"/>
        <v>H. Chợ Mới</v>
      </c>
      <c r="C596" s="42" t="str">
        <f t="shared" si="118"/>
        <v>X. Mai Lạp</v>
      </c>
      <c r="D596" s="50"/>
      <c r="E596" s="50" t="s">
        <v>58</v>
      </c>
      <c r="F596" s="42" t="s">
        <v>677</v>
      </c>
      <c r="G596" s="50" t="s">
        <v>40</v>
      </c>
      <c r="H596" s="50" t="str">
        <f>IF(LEFT('PL1(Full)'!$F596,4)="Thôn","Thôn","Tổ")</f>
        <v>Thôn</v>
      </c>
      <c r="I596" s="46">
        <v>106</v>
      </c>
      <c r="J596" s="46">
        <v>482</v>
      </c>
      <c r="K596" s="46">
        <v>93</v>
      </c>
      <c r="L596" s="47">
        <f t="shared" si="0"/>
        <v>87.735849056603769</v>
      </c>
      <c r="M596" s="45">
        <v>28</v>
      </c>
      <c r="N596" s="48">
        <f t="shared" si="1"/>
        <v>26.415094339622641</v>
      </c>
      <c r="O596" s="46">
        <v>24</v>
      </c>
      <c r="P596" s="48">
        <f t="shared" si="2"/>
        <v>85.714285714285708</v>
      </c>
      <c r="Q596" s="49" t="s">
        <v>52</v>
      </c>
      <c r="R596" s="49" t="str">
        <f t="shared" si="3"/>
        <v>C</v>
      </c>
      <c r="S596" s="50" t="s">
        <v>60</v>
      </c>
      <c r="T596" s="50" t="str">
        <f>IF('PL1(Full)'!$N596&gt;=20,"x",IF(AND('PL1(Full)'!$N596&gt;=15,'PL1(Full)'!$P596&gt;60),"x",""))</f>
        <v>x</v>
      </c>
      <c r="U596" s="50" t="str">
        <f>IF(AND('PL1(Full)'!$H596="Thôn",'PL1(Full)'!$I596&lt;75),"x",IF(AND('PL1(Full)'!$H596="Tổ",'PL1(Full)'!$I596&lt;100),"x","-"))</f>
        <v>-</v>
      </c>
      <c r="V596" s="50" t="str">
        <f>IF(AND('PL1(Full)'!$H596="Thôn",'PL1(Full)'!$I596&lt;140),"x",IF(AND('PL1(Full)'!$H596="Tổ",'PL1(Full)'!$I596&lt;210),"x","-"))</f>
        <v>x</v>
      </c>
      <c r="W596" s="51" t="str">
        <f t="shared" si="114"/>
        <v>Loại 2</v>
      </c>
      <c r="X596" s="50"/>
    </row>
    <row r="597" spans="1:24" ht="15.75" hidden="1" customHeight="1">
      <c r="A597" s="52">
        <f>_xlfn.AGGREGATE(4,7,A$6:A596)+1</f>
        <v>418</v>
      </c>
      <c r="B597" s="14" t="str">
        <f t="shared" si="113"/>
        <v>H. Chợ Mới</v>
      </c>
      <c r="C597" s="14" t="s">
        <v>678</v>
      </c>
      <c r="D597" s="25" t="s">
        <v>36</v>
      </c>
      <c r="E597" s="25" t="s">
        <v>36</v>
      </c>
      <c r="F597" s="53" t="s">
        <v>679</v>
      </c>
      <c r="G597" s="25"/>
      <c r="H597" s="25" t="str">
        <f>IF(LEFT('PL1(Full)'!$F597,4)="Thôn","Thôn","Tổ")</f>
        <v>Thôn</v>
      </c>
      <c r="I597" s="20">
        <v>81</v>
      </c>
      <c r="J597" s="20">
        <v>392</v>
      </c>
      <c r="K597" s="20">
        <v>81</v>
      </c>
      <c r="L597" s="21">
        <f t="shared" si="0"/>
        <v>100</v>
      </c>
      <c r="M597" s="20">
        <v>3</v>
      </c>
      <c r="N597" s="22">
        <f t="shared" si="1"/>
        <v>3.7037037037037037</v>
      </c>
      <c r="O597" s="20">
        <v>4</v>
      </c>
      <c r="P597" s="22">
        <f t="shared" si="2"/>
        <v>133.33333333333334</v>
      </c>
      <c r="Q597" s="23" t="s">
        <v>56</v>
      </c>
      <c r="R597" s="24" t="str">
        <f t="shared" si="3"/>
        <v>X</v>
      </c>
      <c r="S597" s="25"/>
      <c r="T597" s="26" t="str">
        <f>IF('PL1(Full)'!$N597&gt;=20,"x",IF(AND('PL1(Full)'!$N597&gt;=15,'PL1(Full)'!$P597&gt;60),"x",""))</f>
        <v/>
      </c>
      <c r="U597" s="27" t="str">
        <f>IF(AND('PL1(Full)'!$H597="Thôn",'PL1(Full)'!$I597&lt;75),"x",IF(AND('PL1(Full)'!$H597="Tổ",'PL1(Full)'!$I597&lt;100),"x","-"))</f>
        <v>-</v>
      </c>
      <c r="V597" s="28" t="str">
        <f>IF(AND('PL1(Full)'!$H597="Thôn",'PL1(Full)'!$I597&lt;140),"x",IF(AND('PL1(Full)'!$H597="Tổ",'PL1(Full)'!$I597&lt;210),"x","-"))</f>
        <v>x</v>
      </c>
      <c r="W597" s="29" t="str">
        <f t="shared" si="114"/>
        <v>Loại 3</v>
      </c>
      <c r="X597" s="25"/>
    </row>
    <row r="598" spans="1:24" ht="15.75" customHeight="1">
      <c r="A598" s="30">
        <f>_xlfn.AGGREGATE(4,7,A$6:A597)+1</f>
        <v>418</v>
      </c>
      <c r="B598" s="31" t="str">
        <f t="shared" si="113"/>
        <v>H. Chợ Mới</v>
      </c>
      <c r="C598" s="31" t="str">
        <f t="shared" ref="C598:C607" si="119">C597</f>
        <v>X. Như Cố</v>
      </c>
      <c r="D598" s="34"/>
      <c r="E598" s="34" t="s">
        <v>36</v>
      </c>
      <c r="F598" s="54" t="s">
        <v>680</v>
      </c>
      <c r="G598" s="34"/>
      <c r="H598" s="34" t="str">
        <f>IF(LEFT('PL1(Full)'!$F598,4)="Thôn","Thôn","Tổ")</f>
        <v>Thôn</v>
      </c>
      <c r="I598" s="36">
        <v>30</v>
      </c>
      <c r="J598" s="36">
        <v>122</v>
      </c>
      <c r="K598" s="36">
        <v>30</v>
      </c>
      <c r="L598" s="37">
        <f t="shared" si="0"/>
        <v>100</v>
      </c>
      <c r="M598" s="36">
        <v>12</v>
      </c>
      <c r="N598" s="38">
        <f t="shared" si="1"/>
        <v>40</v>
      </c>
      <c r="O598" s="36">
        <v>12</v>
      </c>
      <c r="P598" s="38">
        <f t="shared" si="2"/>
        <v>100</v>
      </c>
      <c r="Q598" s="39" t="s">
        <v>82</v>
      </c>
      <c r="R598" s="39" t="str">
        <f t="shared" si="3"/>
        <v>X</v>
      </c>
      <c r="S598" s="34"/>
      <c r="T598" s="34" t="str">
        <f>IF('PL1(Full)'!$N598&gt;=20,"x",IF(AND('PL1(Full)'!$N598&gt;=15,'PL1(Full)'!$P598&gt;60),"x",""))</f>
        <v>x</v>
      </c>
      <c r="U598" s="34" t="str">
        <f>IF(AND('PL1(Full)'!$H598="Thôn",'PL1(Full)'!$I598&lt;75),"x",IF(AND('PL1(Full)'!$H598="Tổ",'PL1(Full)'!$I598&lt;100),"x","-"))</f>
        <v>x</v>
      </c>
      <c r="V598" s="34" t="str">
        <f>IF(AND('PL1(Full)'!$H598="Thôn",'PL1(Full)'!$I598&lt;140),"x",IF(AND('PL1(Full)'!$H598="Tổ",'PL1(Full)'!$I598&lt;210),"x","-"))</f>
        <v>x</v>
      </c>
      <c r="W598" s="40" t="str">
        <f t="shared" si="114"/>
        <v>Loại 3</v>
      </c>
      <c r="X598" s="34"/>
    </row>
    <row r="599" spans="1:24" ht="15.75" hidden="1" customHeight="1">
      <c r="A599" s="30">
        <f>_xlfn.AGGREGATE(4,7,A$6:A598)+1</f>
        <v>419</v>
      </c>
      <c r="B599" s="31" t="str">
        <f t="shared" si="113"/>
        <v>H. Chợ Mới</v>
      </c>
      <c r="C599" s="31" t="str">
        <f t="shared" si="119"/>
        <v>X. Như Cố</v>
      </c>
      <c r="D599" s="34"/>
      <c r="E599" s="34" t="s">
        <v>36</v>
      </c>
      <c r="F599" s="54" t="s">
        <v>681</v>
      </c>
      <c r="G599" s="34"/>
      <c r="H599" s="34" t="str">
        <f>IF(LEFT('PL1(Full)'!$F599,4)="Thôn","Thôn","Tổ")</f>
        <v>Thôn</v>
      </c>
      <c r="I599" s="36">
        <v>103</v>
      </c>
      <c r="J599" s="36">
        <v>482</v>
      </c>
      <c r="K599" s="36">
        <v>103</v>
      </c>
      <c r="L599" s="37">
        <f t="shared" si="0"/>
        <v>100</v>
      </c>
      <c r="M599" s="36">
        <v>6</v>
      </c>
      <c r="N599" s="38">
        <f t="shared" si="1"/>
        <v>5.825242718446602</v>
      </c>
      <c r="O599" s="36">
        <v>5</v>
      </c>
      <c r="P599" s="38">
        <f t="shared" si="2"/>
        <v>83.333333333333329</v>
      </c>
      <c r="Q599" s="39" t="s">
        <v>56</v>
      </c>
      <c r="R599" s="39" t="str">
        <f t="shared" si="3"/>
        <v>X</v>
      </c>
      <c r="S599" s="34"/>
      <c r="T599" s="34" t="str">
        <f>IF('PL1(Full)'!$N599&gt;=20,"x",IF(AND('PL1(Full)'!$N599&gt;=15,'PL1(Full)'!$P599&gt;60),"x",""))</f>
        <v/>
      </c>
      <c r="U599" s="34" t="str">
        <f>IF(AND('PL1(Full)'!$H599="Thôn",'PL1(Full)'!$I599&lt;75),"x",IF(AND('PL1(Full)'!$H599="Tổ",'PL1(Full)'!$I599&lt;100),"x","-"))</f>
        <v>-</v>
      </c>
      <c r="V599" s="34" t="str">
        <f>IF(AND('PL1(Full)'!$H599="Thôn",'PL1(Full)'!$I599&lt;140),"x",IF(AND('PL1(Full)'!$H599="Tổ",'PL1(Full)'!$I599&lt;210),"x","-"))</f>
        <v>x</v>
      </c>
      <c r="W599" s="40" t="str">
        <f t="shared" si="114"/>
        <v>Loại 2</v>
      </c>
      <c r="X599" s="34"/>
    </row>
    <row r="600" spans="1:24" ht="15.75" customHeight="1">
      <c r="A600" s="30">
        <f>_xlfn.AGGREGATE(4,7,A$6:A599)+1</f>
        <v>419</v>
      </c>
      <c r="B600" s="31" t="str">
        <f t="shared" si="113"/>
        <v>H. Chợ Mới</v>
      </c>
      <c r="C600" s="31" t="str">
        <f t="shared" si="119"/>
        <v>X. Như Cố</v>
      </c>
      <c r="D600" s="34"/>
      <c r="E600" s="34" t="s">
        <v>36</v>
      </c>
      <c r="F600" s="54" t="s">
        <v>682</v>
      </c>
      <c r="G600" s="34"/>
      <c r="H600" s="34" t="str">
        <f>IF(LEFT('PL1(Full)'!$F600,4)="Thôn","Thôn","Tổ")</f>
        <v>Thôn</v>
      </c>
      <c r="I600" s="36">
        <v>60</v>
      </c>
      <c r="J600" s="36">
        <v>273</v>
      </c>
      <c r="K600" s="36">
        <v>55</v>
      </c>
      <c r="L600" s="37">
        <f t="shared" si="0"/>
        <v>91.666666666666671</v>
      </c>
      <c r="M600" s="36">
        <v>3</v>
      </c>
      <c r="N600" s="38">
        <f t="shared" si="1"/>
        <v>5</v>
      </c>
      <c r="O600" s="36">
        <v>3</v>
      </c>
      <c r="P600" s="38">
        <f t="shared" si="2"/>
        <v>100</v>
      </c>
      <c r="Q600" s="39" t="s">
        <v>82</v>
      </c>
      <c r="R600" s="39" t="str">
        <f t="shared" si="3"/>
        <v>X</v>
      </c>
      <c r="S600" s="34"/>
      <c r="T600" s="34" t="str">
        <f>IF('PL1(Full)'!$N600&gt;=20,"x",IF(AND('PL1(Full)'!$N600&gt;=15,'PL1(Full)'!$P600&gt;60),"x",""))</f>
        <v/>
      </c>
      <c r="U600" s="34" t="str">
        <f>IF(AND('PL1(Full)'!$H600="Thôn",'PL1(Full)'!$I600&lt;75),"x",IF(AND('PL1(Full)'!$H600="Tổ",'PL1(Full)'!$I600&lt;100),"x","-"))</f>
        <v>x</v>
      </c>
      <c r="V600" s="34" t="str">
        <f>IF(AND('PL1(Full)'!$H600="Thôn",'PL1(Full)'!$I600&lt;140),"x",IF(AND('PL1(Full)'!$H600="Tổ",'PL1(Full)'!$I600&lt;210),"x","-"))</f>
        <v>x</v>
      </c>
      <c r="W600" s="40" t="str">
        <f t="shared" si="114"/>
        <v>Loại 3</v>
      </c>
      <c r="X600" s="34"/>
    </row>
    <row r="601" spans="1:24" ht="15.75" customHeight="1">
      <c r="A601" s="30">
        <f>_xlfn.AGGREGATE(4,7,A$6:A600)+1</f>
        <v>420</v>
      </c>
      <c r="B601" s="31" t="str">
        <f t="shared" si="113"/>
        <v>H. Chợ Mới</v>
      </c>
      <c r="C601" s="31" t="str">
        <f t="shared" si="119"/>
        <v>X. Như Cố</v>
      </c>
      <c r="D601" s="34"/>
      <c r="E601" s="34" t="s">
        <v>36</v>
      </c>
      <c r="F601" s="54" t="s">
        <v>683</v>
      </c>
      <c r="G601" s="34"/>
      <c r="H601" s="34" t="str">
        <f>IF(LEFT('PL1(Full)'!$F601,4)="Thôn","Thôn","Tổ")</f>
        <v>Thôn</v>
      </c>
      <c r="I601" s="36">
        <v>28</v>
      </c>
      <c r="J601" s="36">
        <v>118</v>
      </c>
      <c r="K601" s="36">
        <v>28</v>
      </c>
      <c r="L601" s="37">
        <f t="shared" si="0"/>
        <v>100</v>
      </c>
      <c r="M601" s="36">
        <v>6</v>
      </c>
      <c r="N601" s="38">
        <f t="shared" si="1"/>
        <v>21.428571428571427</v>
      </c>
      <c r="O601" s="36">
        <v>6</v>
      </c>
      <c r="P601" s="38">
        <f t="shared" si="2"/>
        <v>100</v>
      </c>
      <c r="Q601" s="39" t="s">
        <v>82</v>
      </c>
      <c r="R601" s="39" t="str">
        <f t="shared" si="3"/>
        <v>X</v>
      </c>
      <c r="S601" s="34"/>
      <c r="T601" s="34" t="str">
        <f>IF('PL1(Full)'!$N601&gt;=20,"x",IF(AND('PL1(Full)'!$N601&gt;=15,'PL1(Full)'!$P601&gt;60),"x",""))</f>
        <v>x</v>
      </c>
      <c r="U601" s="34" t="str">
        <f>IF(AND('PL1(Full)'!$H601="Thôn",'PL1(Full)'!$I601&lt;75),"x",IF(AND('PL1(Full)'!$H601="Tổ",'PL1(Full)'!$I601&lt;100),"x","-"))</f>
        <v>x</v>
      </c>
      <c r="V601" s="34" t="str">
        <f>IF(AND('PL1(Full)'!$H601="Thôn",'PL1(Full)'!$I601&lt;140),"x",IF(AND('PL1(Full)'!$H601="Tổ",'PL1(Full)'!$I601&lt;210),"x","-"))</f>
        <v>x</v>
      </c>
      <c r="W601" s="40" t="str">
        <f t="shared" si="114"/>
        <v>Loại 3</v>
      </c>
      <c r="X601" s="34"/>
    </row>
    <row r="602" spans="1:24" ht="15.75" hidden="1" customHeight="1">
      <c r="A602" s="30">
        <f>_xlfn.AGGREGATE(4,7,A$6:A601)+1</f>
        <v>421</v>
      </c>
      <c r="B602" s="31" t="str">
        <f t="shared" si="113"/>
        <v>H. Chợ Mới</v>
      </c>
      <c r="C602" s="31" t="str">
        <f t="shared" si="119"/>
        <v>X. Như Cố</v>
      </c>
      <c r="D602" s="34"/>
      <c r="E602" s="34" t="s">
        <v>36</v>
      </c>
      <c r="F602" s="54" t="s">
        <v>684</v>
      </c>
      <c r="G602" s="34"/>
      <c r="H602" s="34" t="str">
        <f>IF(LEFT('PL1(Full)'!$F602,4)="Thôn","Thôn","Tổ")</f>
        <v>Thôn</v>
      </c>
      <c r="I602" s="36">
        <v>84</v>
      </c>
      <c r="J602" s="36">
        <v>358</v>
      </c>
      <c r="K602" s="36">
        <v>84</v>
      </c>
      <c r="L602" s="37">
        <f t="shared" si="0"/>
        <v>100</v>
      </c>
      <c r="M602" s="36">
        <v>4</v>
      </c>
      <c r="N602" s="38">
        <f t="shared" si="1"/>
        <v>4.7619047619047619</v>
      </c>
      <c r="O602" s="36">
        <v>4</v>
      </c>
      <c r="P602" s="38">
        <f t="shared" si="2"/>
        <v>100</v>
      </c>
      <c r="Q602" s="39" t="s">
        <v>82</v>
      </c>
      <c r="R602" s="39" t="str">
        <f t="shared" si="3"/>
        <v>X</v>
      </c>
      <c r="S602" s="34"/>
      <c r="T602" s="34" t="str">
        <f>IF('PL1(Full)'!$N602&gt;=20,"x",IF(AND('PL1(Full)'!$N602&gt;=15,'PL1(Full)'!$P602&gt;60),"x",""))</f>
        <v/>
      </c>
      <c r="U602" s="34" t="str">
        <f>IF(AND('PL1(Full)'!$H602="Thôn",'PL1(Full)'!$I602&lt;75),"x",IF(AND('PL1(Full)'!$H602="Tổ",'PL1(Full)'!$I602&lt;100),"x","-"))</f>
        <v>-</v>
      </c>
      <c r="V602" s="34" t="str">
        <f>IF(AND('PL1(Full)'!$H602="Thôn",'PL1(Full)'!$I602&lt;140),"x",IF(AND('PL1(Full)'!$H602="Tổ",'PL1(Full)'!$I602&lt;210),"x","-"))</f>
        <v>x</v>
      </c>
      <c r="W602" s="40" t="str">
        <f t="shared" si="114"/>
        <v>Loại 3</v>
      </c>
      <c r="X602" s="34"/>
    </row>
    <row r="603" spans="1:24" ht="15.75" customHeight="1">
      <c r="A603" s="30">
        <f>_xlfn.AGGREGATE(4,7,A$6:A602)+1</f>
        <v>421</v>
      </c>
      <c r="B603" s="31" t="str">
        <f t="shared" si="113"/>
        <v>H. Chợ Mới</v>
      </c>
      <c r="C603" s="31" t="str">
        <f t="shared" si="119"/>
        <v>X. Như Cố</v>
      </c>
      <c r="D603" s="34"/>
      <c r="E603" s="34" t="s">
        <v>36</v>
      </c>
      <c r="F603" s="54" t="s">
        <v>685</v>
      </c>
      <c r="G603" s="34"/>
      <c r="H603" s="34" t="str">
        <f>IF(LEFT('PL1(Full)'!$F603,4)="Thôn","Thôn","Tổ")</f>
        <v>Thôn</v>
      </c>
      <c r="I603" s="36">
        <v>13</v>
      </c>
      <c r="J603" s="36">
        <v>55</v>
      </c>
      <c r="K603" s="36">
        <v>13</v>
      </c>
      <c r="L603" s="37">
        <f t="shared" si="0"/>
        <v>100</v>
      </c>
      <c r="M603" s="36">
        <v>3</v>
      </c>
      <c r="N603" s="38">
        <f t="shared" si="1"/>
        <v>23.076923076923077</v>
      </c>
      <c r="O603" s="36">
        <v>3</v>
      </c>
      <c r="P603" s="38">
        <f t="shared" si="2"/>
        <v>100</v>
      </c>
      <c r="Q603" s="39" t="s">
        <v>63</v>
      </c>
      <c r="R603" s="39" t="str">
        <f t="shared" si="3"/>
        <v>X</v>
      </c>
      <c r="S603" s="34"/>
      <c r="T603" s="34" t="str">
        <f>IF('PL1(Full)'!$N603&gt;=20,"x",IF(AND('PL1(Full)'!$N603&gt;=15,'PL1(Full)'!$P603&gt;60),"x",""))</f>
        <v>x</v>
      </c>
      <c r="U603" s="34" t="str">
        <f>IF(AND('PL1(Full)'!$H603="Thôn",'PL1(Full)'!$I603&lt;75),"x",IF(AND('PL1(Full)'!$H603="Tổ",'PL1(Full)'!$I603&lt;100),"x","-"))</f>
        <v>x</v>
      </c>
      <c r="V603" s="34" t="str">
        <f>IF(AND('PL1(Full)'!$H603="Thôn",'PL1(Full)'!$I603&lt;140),"x",IF(AND('PL1(Full)'!$H603="Tổ",'PL1(Full)'!$I603&lt;210),"x","-"))</f>
        <v>x</v>
      </c>
      <c r="W603" s="40" t="str">
        <f t="shared" si="114"/>
        <v>Loại 3</v>
      </c>
      <c r="X603" s="34"/>
    </row>
    <row r="604" spans="1:24" ht="15.75" hidden="1" customHeight="1">
      <c r="A604" s="30">
        <f>_xlfn.AGGREGATE(4,7,A$6:A603)+1</f>
        <v>422</v>
      </c>
      <c r="B604" s="31" t="str">
        <f t="shared" si="113"/>
        <v>H. Chợ Mới</v>
      </c>
      <c r="C604" s="31" t="str">
        <f t="shared" si="119"/>
        <v>X. Như Cố</v>
      </c>
      <c r="D604" s="34"/>
      <c r="E604" s="34" t="s">
        <v>36</v>
      </c>
      <c r="F604" s="54" t="s">
        <v>686</v>
      </c>
      <c r="G604" s="34"/>
      <c r="H604" s="34" t="str">
        <f>IF(LEFT('PL1(Full)'!$F604,4)="Thôn","Thôn","Tổ")</f>
        <v>Thôn</v>
      </c>
      <c r="I604" s="36">
        <v>88</v>
      </c>
      <c r="J604" s="36">
        <v>356</v>
      </c>
      <c r="K604" s="36">
        <v>75</v>
      </c>
      <c r="L604" s="37">
        <f t="shared" si="0"/>
        <v>85.227272727272734</v>
      </c>
      <c r="M604" s="36">
        <v>4</v>
      </c>
      <c r="N604" s="38">
        <f t="shared" si="1"/>
        <v>4.5454545454545459</v>
      </c>
      <c r="O604" s="36">
        <v>4</v>
      </c>
      <c r="P604" s="38">
        <f t="shared" si="2"/>
        <v>100</v>
      </c>
      <c r="Q604" s="39" t="s">
        <v>82</v>
      </c>
      <c r="R604" s="39" t="str">
        <f t="shared" si="3"/>
        <v>X</v>
      </c>
      <c r="S604" s="34"/>
      <c r="T604" s="34" t="str">
        <f>IF('PL1(Full)'!$N604&gt;=20,"x",IF(AND('PL1(Full)'!$N604&gt;=15,'PL1(Full)'!$P604&gt;60),"x",""))</f>
        <v/>
      </c>
      <c r="U604" s="34" t="str">
        <f>IF(AND('PL1(Full)'!$H604="Thôn",'PL1(Full)'!$I604&lt;75),"x",IF(AND('PL1(Full)'!$H604="Tổ",'PL1(Full)'!$I604&lt;100),"x","-"))</f>
        <v>-</v>
      </c>
      <c r="V604" s="34" t="str">
        <f>IF(AND('PL1(Full)'!$H604="Thôn",'PL1(Full)'!$I604&lt;140),"x",IF(AND('PL1(Full)'!$H604="Tổ",'PL1(Full)'!$I604&lt;210),"x","-"))</f>
        <v>x</v>
      </c>
      <c r="W604" s="40" t="str">
        <f t="shared" si="114"/>
        <v>Loại 3</v>
      </c>
      <c r="X604" s="34"/>
    </row>
    <row r="605" spans="1:24" ht="15.75" hidden="1" customHeight="1">
      <c r="A605" s="30">
        <f>_xlfn.AGGREGATE(4,7,A$6:A604)+1</f>
        <v>422</v>
      </c>
      <c r="B605" s="31" t="str">
        <f t="shared" si="113"/>
        <v>H. Chợ Mới</v>
      </c>
      <c r="C605" s="31" t="str">
        <f t="shared" si="119"/>
        <v>X. Như Cố</v>
      </c>
      <c r="D605" s="34"/>
      <c r="E605" s="34" t="s">
        <v>36</v>
      </c>
      <c r="F605" s="54" t="s">
        <v>687</v>
      </c>
      <c r="G605" s="34"/>
      <c r="H605" s="34" t="str">
        <f>IF(LEFT('PL1(Full)'!$F605,4)="Thôn","Thôn","Tổ")</f>
        <v>Thôn</v>
      </c>
      <c r="I605" s="36">
        <v>102</v>
      </c>
      <c r="J605" s="36">
        <v>432</v>
      </c>
      <c r="K605" s="36">
        <v>102</v>
      </c>
      <c r="L605" s="37">
        <f t="shared" si="0"/>
        <v>100</v>
      </c>
      <c r="M605" s="36">
        <v>23</v>
      </c>
      <c r="N605" s="38">
        <f t="shared" si="1"/>
        <v>22.549019607843139</v>
      </c>
      <c r="O605" s="36">
        <v>23</v>
      </c>
      <c r="P605" s="38">
        <f t="shared" si="2"/>
        <v>100</v>
      </c>
      <c r="Q605" s="39" t="s">
        <v>56</v>
      </c>
      <c r="R605" s="39" t="str">
        <f t="shared" si="3"/>
        <v>X</v>
      </c>
      <c r="S605" s="34" t="s">
        <v>60</v>
      </c>
      <c r="T605" s="34" t="str">
        <f>IF('PL1(Full)'!$N605&gt;=20,"x",IF(AND('PL1(Full)'!$N605&gt;=15,'PL1(Full)'!$P605&gt;60),"x",""))</f>
        <v>x</v>
      </c>
      <c r="U605" s="34" t="str">
        <f>IF(AND('PL1(Full)'!$H605="Thôn",'PL1(Full)'!$I605&lt;75),"x",IF(AND('PL1(Full)'!$H605="Tổ",'PL1(Full)'!$I605&lt;100),"x","-"))</f>
        <v>-</v>
      </c>
      <c r="V605" s="34" t="str">
        <f>IF(AND('PL1(Full)'!$H605="Thôn",'PL1(Full)'!$I605&lt;140),"x",IF(AND('PL1(Full)'!$H605="Tổ",'PL1(Full)'!$I605&lt;210),"x","-"))</f>
        <v>x</v>
      </c>
      <c r="W605" s="40" t="str">
        <f t="shared" si="114"/>
        <v>Loại 2</v>
      </c>
      <c r="X605" s="34"/>
    </row>
    <row r="606" spans="1:24" ht="15.75" customHeight="1">
      <c r="A606" s="30">
        <f>_xlfn.AGGREGATE(4,7,A$6:A605)+1</f>
        <v>422</v>
      </c>
      <c r="B606" s="31" t="str">
        <f t="shared" si="113"/>
        <v>H. Chợ Mới</v>
      </c>
      <c r="C606" s="31" t="str">
        <f t="shared" si="119"/>
        <v>X. Như Cố</v>
      </c>
      <c r="D606" s="34"/>
      <c r="E606" s="34" t="s">
        <v>36</v>
      </c>
      <c r="F606" s="54" t="s">
        <v>688</v>
      </c>
      <c r="G606" s="34"/>
      <c r="H606" s="34" t="str">
        <f>IF(LEFT('PL1(Full)'!$F606,4)="Thôn","Thôn","Tổ")</f>
        <v>Thôn</v>
      </c>
      <c r="I606" s="36">
        <v>54</v>
      </c>
      <c r="J606" s="36">
        <v>252</v>
      </c>
      <c r="K606" s="36">
        <v>44</v>
      </c>
      <c r="L606" s="37">
        <f t="shared" si="0"/>
        <v>81.481481481481481</v>
      </c>
      <c r="M606" s="36">
        <v>2</v>
      </c>
      <c r="N606" s="38">
        <f t="shared" si="1"/>
        <v>3.7037037037037037</v>
      </c>
      <c r="O606" s="36">
        <v>1</v>
      </c>
      <c r="P606" s="38">
        <f t="shared" si="2"/>
        <v>50</v>
      </c>
      <c r="Q606" s="39" t="s">
        <v>82</v>
      </c>
      <c r="R606" s="39" t="str">
        <f t="shared" si="3"/>
        <v>X</v>
      </c>
      <c r="S606" s="34"/>
      <c r="T606" s="34" t="str">
        <f>IF('PL1(Full)'!$N606&gt;=20,"x",IF(AND('PL1(Full)'!$N606&gt;=15,'PL1(Full)'!$P606&gt;60),"x",""))</f>
        <v/>
      </c>
      <c r="U606" s="34" t="str">
        <f>IF(AND('PL1(Full)'!$H606="Thôn",'PL1(Full)'!$I606&lt;75),"x",IF(AND('PL1(Full)'!$H606="Tổ",'PL1(Full)'!$I606&lt;100),"x","-"))</f>
        <v>x</v>
      </c>
      <c r="V606" s="34" t="str">
        <f>IF(AND('PL1(Full)'!$H606="Thôn",'PL1(Full)'!$I606&lt;140),"x",IF(AND('PL1(Full)'!$H606="Tổ",'PL1(Full)'!$I606&lt;210),"x","-"))</f>
        <v>x</v>
      </c>
      <c r="W606" s="40" t="str">
        <f t="shared" si="114"/>
        <v>Loại 3</v>
      </c>
      <c r="X606" s="34"/>
    </row>
    <row r="607" spans="1:24" ht="15.75" customHeight="1">
      <c r="A607" s="41">
        <f>_xlfn.AGGREGATE(4,7,A$6:A606)+1</f>
        <v>423</v>
      </c>
      <c r="B607" s="42" t="str">
        <f t="shared" si="113"/>
        <v>H. Chợ Mới</v>
      </c>
      <c r="C607" s="42" t="str">
        <f t="shared" si="119"/>
        <v>X. Như Cố</v>
      </c>
      <c r="D607" s="50"/>
      <c r="E607" s="50" t="s">
        <v>36</v>
      </c>
      <c r="F607" s="55" t="s">
        <v>689</v>
      </c>
      <c r="G607" s="50"/>
      <c r="H607" s="50" t="str">
        <f>IF(LEFT('PL1(Full)'!$F607,4)="Thôn","Thôn","Tổ")</f>
        <v>Thôn</v>
      </c>
      <c r="I607" s="46">
        <v>61</v>
      </c>
      <c r="J607" s="46">
        <v>290</v>
      </c>
      <c r="K607" s="46">
        <v>51</v>
      </c>
      <c r="L607" s="47">
        <f t="shared" si="0"/>
        <v>83.606557377049185</v>
      </c>
      <c r="M607" s="46">
        <v>4</v>
      </c>
      <c r="N607" s="48">
        <f t="shared" si="1"/>
        <v>6.557377049180328</v>
      </c>
      <c r="O607" s="46">
        <v>4</v>
      </c>
      <c r="P607" s="48">
        <f t="shared" si="2"/>
        <v>100</v>
      </c>
      <c r="Q607" s="49" t="s">
        <v>63</v>
      </c>
      <c r="R607" s="49" t="str">
        <f t="shared" si="3"/>
        <v>X</v>
      </c>
      <c r="S607" s="50"/>
      <c r="T607" s="50" t="str">
        <f>IF('PL1(Full)'!$N607&gt;=20,"x",IF(AND('PL1(Full)'!$N607&gt;=15,'PL1(Full)'!$P607&gt;60),"x",""))</f>
        <v/>
      </c>
      <c r="U607" s="50" t="str">
        <f>IF(AND('PL1(Full)'!$H607="Thôn",'PL1(Full)'!$I607&lt;75),"x",IF(AND('PL1(Full)'!$H607="Tổ",'PL1(Full)'!$I607&lt;100),"x","-"))</f>
        <v>x</v>
      </c>
      <c r="V607" s="34" t="str">
        <f>IF(AND('PL1(Full)'!$H607="Thôn",'PL1(Full)'!$I607&lt;140),"x",IF(AND('PL1(Full)'!$H607="Tổ",'PL1(Full)'!$I607&lt;210),"x","-"))</f>
        <v>x</v>
      </c>
      <c r="W607" s="51" t="str">
        <f t="shared" si="114"/>
        <v>Loại 3</v>
      </c>
      <c r="X607" s="50"/>
    </row>
    <row r="608" spans="1:24" ht="15.75" hidden="1" customHeight="1">
      <c r="A608" s="52">
        <f>_xlfn.AGGREGATE(4,7,A$6:A607)+1</f>
        <v>424</v>
      </c>
      <c r="B608" s="14" t="str">
        <f t="shared" si="113"/>
        <v>H. Chợ Mới</v>
      </c>
      <c r="C608" s="14" t="s">
        <v>690</v>
      </c>
      <c r="D608" s="25" t="s">
        <v>36</v>
      </c>
      <c r="E608" s="25" t="s">
        <v>36</v>
      </c>
      <c r="F608" s="14" t="s">
        <v>691</v>
      </c>
      <c r="G608" s="25"/>
      <c r="H608" s="25" t="str">
        <f>IF(LEFT('PL1(Full)'!$F608,4)="Thôn","Thôn","Tổ")</f>
        <v>Thôn</v>
      </c>
      <c r="I608" s="20">
        <v>83</v>
      </c>
      <c r="J608" s="20">
        <v>339</v>
      </c>
      <c r="K608" s="20">
        <v>54</v>
      </c>
      <c r="L608" s="21">
        <f t="shared" si="0"/>
        <v>65.060240963855421</v>
      </c>
      <c r="M608" s="102">
        <v>6</v>
      </c>
      <c r="N608" s="22">
        <f t="shared" si="1"/>
        <v>7.2289156626506026</v>
      </c>
      <c r="O608" s="102">
        <v>6</v>
      </c>
      <c r="P608" s="22">
        <f t="shared" si="2"/>
        <v>100</v>
      </c>
      <c r="Q608" s="23" t="s">
        <v>56</v>
      </c>
      <c r="R608" s="24" t="str">
        <f t="shared" si="3"/>
        <v>X</v>
      </c>
      <c r="S608" s="25"/>
      <c r="T608" s="26" t="str">
        <f>IF('PL1(Full)'!$N608&gt;=20,"x",IF(AND('PL1(Full)'!$N608&gt;=15,'PL1(Full)'!$P608&gt;60),"x",""))</f>
        <v/>
      </c>
      <c r="U608" s="27" t="str">
        <f>IF(AND('PL1(Full)'!$H608="Thôn",'PL1(Full)'!$I608&lt;75),"x",IF(AND('PL1(Full)'!$H608="Tổ",'PL1(Full)'!$I608&lt;100),"x","-"))</f>
        <v>-</v>
      </c>
      <c r="V608" s="28" t="str">
        <f>IF(AND('PL1(Full)'!$H608="Thôn",'PL1(Full)'!$I608&lt;140),"x",IF(AND('PL1(Full)'!$H608="Tổ",'PL1(Full)'!$I608&lt;210),"x","-"))</f>
        <v>x</v>
      </c>
      <c r="W608" s="29" t="str">
        <f t="shared" si="114"/>
        <v>Loại 3</v>
      </c>
      <c r="X608" s="25"/>
    </row>
    <row r="609" spans="1:24" ht="15.75" customHeight="1">
      <c r="A609" s="30">
        <f>_xlfn.AGGREGATE(4,7,A$6:A608)+1</f>
        <v>424</v>
      </c>
      <c r="B609" s="31" t="str">
        <f t="shared" si="113"/>
        <v>H. Chợ Mới</v>
      </c>
      <c r="C609" s="31" t="str">
        <f t="shared" ref="C609:C622" si="120">C608</f>
        <v>X. Nông Hạ</v>
      </c>
      <c r="D609" s="34"/>
      <c r="E609" s="34" t="s">
        <v>36</v>
      </c>
      <c r="F609" s="31" t="s">
        <v>692</v>
      </c>
      <c r="G609" s="34"/>
      <c r="H609" s="34" t="str">
        <f>IF(LEFT('PL1(Full)'!$F609,4)="Thôn","Thôn","Tổ")</f>
        <v>Thôn</v>
      </c>
      <c r="I609" s="36">
        <v>73</v>
      </c>
      <c r="J609" s="36">
        <v>316</v>
      </c>
      <c r="K609" s="36">
        <v>64</v>
      </c>
      <c r="L609" s="37">
        <f t="shared" si="0"/>
        <v>87.671232876712324</v>
      </c>
      <c r="M609" s="103">
        <v>3</v>
      </c>
      <c r="N609" s="38">
        <f t="shared" si="1"/>
        <v>4.1095890410958908</v>
      </c>
      <c r="O609" s="103">
        <v>2</v>
      </c>
      <c r="P609" s="38">
        <f t="shared" si="2"/>
        <v>66.666666666666671</v>
      </c>
      <c r="Q609" s="39" t="s">
        <v>43</v>
      </c>
      <c r="R609" s="39" t="str">
        <f t="shared" si="3"/>
        <v>X</v>
      </c>
      <c r="S609" s="34"/>
      <c r="T609" s="34" t="str">
        <f>IF('PL1(Full)'!$N609&gt;=20,"x",IF(AND('PL1(Full)'!$N609&gt;=15,'PL1(Full)'!$P609&gt;60),"x",""))</f>
        <v/>
      </c>
      <c r="U609" s="34" t="str">
        <f>IF(AND('PL1(Full)'!$H609="Thôn",'PL1(Full)'!$I609&lt;75),"x",IF(AND('PL1(Full)'!$H609="Tổ",'PL1(Full)'!$I609&lt;100),"x","-"))</f>
        <v>x</v>
      </c>
      <c r="V609" s="34" t="str">
        <f>IF(AND('PL1(Full)'!$H609="Thôn",'PL1(Full)'!$I609&lt;140),"x",IF(AND('PL1(Full)'!$H609="Tổ",'PL1(Full)'!$I609&lt;210),"x","-"))</f>
        <v>x</v>
      </c>
      <c r="W609" s="40" t="str">
        <f t="shared" si="114"/>
        <v>Loại 3</v>
      </c>
      <c r="X609" s="34"/>
    </row>
    <row r="610" spans="1:24" ht="15.75" hidden="1" customHeight="1">
      <c r="A610" s="30">
        <f>_xlfn.AGGREGATE(4,7,A$6:A609)+1</f>
        <v>425</v>
      </c>
      <c r="B610" s="31" t="str">
        <f t="shared" si="113"/>
        <v>H. Chợ Mới</v>
      </c>
      <c r="C610" s="31" t="str">
        <f t="shared" si="120"/>
        <v>X. Nông Hạ</v>
      </c>
      <c r="D610" s="34"/>
      <c r="E610" s="34" t="s">
        <v>36</v>
      </c>
      <c r="F610" s="31" t="s">
        <v>693</v>
      </c>
      <c r="G610" s="34"/>
      <c r="H610" s="34" t="str">
        <f>IF(LEFT('PL1(Full)'!$F610,4)="Thôn","Thôn","Tổ")</f>
        <v>Thôn</v>
      </c>
      <c r="I610" s="36">
        <v>96</v>
      </c>
      <c r="J610" s="36">
        <v>374</v>
      </c>
      <c r="K610" s="36">
        <v>82</v>
      </c>
      <c r="L610" s="37">
        <f t="shared" si="0"/>
        <v>85.416666666666671</v>
      </c>
      <c r="M610" s="103">
        <v>0</v>
      </c>
      <c r="N610" s="38">
        <f t="shared" si="1"/>
        <v>0</v>
      </c>
      <c r="O610" s="103">
        <v>0</v>
      </c>
      <c r="P610" s="38">
        <f t="shared" si="2"/>
        <v>0</v>
      </c>
      <c r="Q610" s="39" t="s">
        <v>63</v>
      </c>
      <c r="R610" s="39" t="str">
        <f t="shared" si="3"/>
        <v>X</v>
      </c>
      <c r="S610" s="34"/>
      <c r="T610" s="34" t="str">
        <f>IF('PL1(Full)'!$N610&gt;=20,"x",IF(AND('PL1(Full)'!$N610&gt;=15,'PL1(Full)'!$P610&gt;60),"x",""))</f>
        <v/>
      </c>
      <c r="U610" s="34" t="str">
        <f>IF(AND('PL1(Full)'!$H610="Thôn",'PL1(Full)'!$I610&lt;75),"x",IF(AND('PL1(Full)'!$H610="Tổ",'PL1(Full)'!$I610&lt;100),"x","-"))</f>
        <v>-</v>
      </c>
      <c r="V610" s="34" t="str">
        <f>IF(AND('PL1(Full)'!$H610="Thôn",'PL1(Full)'!$I610&lt;140),"x",IF(AND('PL1(Full)'!$H610="Tổ",'PL1(Full)'!$I610&lt;210),"x","-"))</f>
        <v>x</v>
      </c>
      <c r="W610" s="40" t="str">
        <f t="shared" si="114"/>
        <v>Loại 3</v>
      </c>
      <c r="X610" s="34"/>
    </row>
    <row r="611" spans="1:24" ht="15.75" customHeight="1">
      <c r="A611" s="30">
        <f>_xlfn.AGGREGATE(4,7,A$6:A610)+1</f>
        <v>425</v>
      </c>
      <c r="B611" s="31" t="str">
        <f t="shared" si="113"/>
        <v>H. Chợ Mới</v>
      </c>
      <c r="C611" s="31" t="str">
        <f t="shared" si="120"/>
        <v>X. Nông Hạ</v>
      </c>
      <c r="D611" s="34"/>
      <c r="E611" s="34" t="s">
        <v>36</v>
      </c>
      <c r="F611" s="31" t="s">
        <v>694</v>
      </c>
      <c r="G611" s="34"/>
      <c r="H611" s="34" t="str">
        <f>IF(LEFT('PL1(Full)'!$F611,4)="Thôn","Thôn","Tổ")</f>
        <v>Thôn</v>
      </c>
      <c r="I611" s="36">
        <v>45</v>
      </c>
      <c r="J611" s="36">
        <v>198</v>
      </c>
      <c r="K611" s="36">
        <v>46</v>
      </c>
      <c r="L611" s="37">
        <f t="shared" si="0"/>
        <v>102.22222222222223</v>
      </c>
      <c r="M611" s="103">
        <v>7</v>
      </c>
      <c r="N611" s="38">
        <f t="shared" si="1"/>
        <v>15.555555555555555</v>
      </c>
      <c r="O611" s="103">
        <v>7</v>
      </c>
      <c r="P611" s="38">
        <f t="shared" si="2"/>
        <v>100</v>
      </c>
      <c r="Q611" s="39" t="s">
        <v>63</v>
      </c>
      <c r="R611" s="39" t="str">
        <f t="shared" si="3"/>
        <v>X</v>
      </c>
      <c r="S611" s="34" t="s">
        <v>60</v>
      </c>
      <c r="T611" s="34" t="str">
        <f>IF('PL1(Full)'!$N611&gt;=20,"x",IF(AND('PL1(Full)'!$N611&gt;=15,'PL1(Full)'!$P611&gt;60),"x",""))</f>
        <v>x</v>
      </c>
      <c r="U611" s="34" t="str">
        <f>IF(AND('PL1(Full)'!$H611="Thôn",'PL1(Full)'!$I611&lt;75),"x",IF(AND('PL1(Full)'!$H611="Tổ",'PL1(Full)'!$I611&lt;100),"x","-"))</f>
        <v>x</v>
      </c>
      <c r="V611" s="34" t="str">
        <f>IF(AND('PL1(Full)'!$H611="Thôn",'PL1(Full)'!$I611&lt;140),"x",IF(AND('PL1(Full)'!$H611="Tổ",'PL1(Full)'!$I611&lt;210),"x","-"))</f>
        <v>x</v>
      </c>
      <c r="W611" s="40" t="str">
        <f t="shared" si="114"/>
        <v>Loại 3</v>
      </c>
      <c r="X611" s="34"/>
    </row>
    <row r="612" spans="1:24" ht="15.75" customHeight="1">
      <c r="A612" s="30">
        <f>_xlfn.AGGREGATE(4,7,A$6:A611)+1</f>
        <v>426</v>
      </c>
      <c r="B612" s="31" t="str">
        <f t="shared" si="113"/>
        <v>H. Chợ Mới</v>
      </c>
      <c r="C612" s="31" t="str">
        <f t="shared" si="120"/>
        <v>X. Nông Hạ</v>
      </c>
      <c r="D612" s="34"/>
      <c r="E612" s="34" t="s">
        <v>36</v>
      </c>
      <c r="F612" s="31" t="s">
        <v>695</v>
      </c>
      <c r="G612" s="34"/>
      <c r="H612" s="34" t="str">
        <f>IF(LEFT('PL1(Full)'!$F612,4)="Thôn","Thôn","Tổ")</f>
        <v>Thôn</v>
      </c>
      <c r="I612" s="36">
        <v>56</v>
      </c>
      <c r="J612" s="36">
        <v>214</v>
      </c>
      <c r="K612" s="36">
        <v>57</v>
      </c>
      <c r="L612" s="37">
        <f t="shared" si="0"/>
        <v>101.78571428571429</v>
      </c>
      <c r="M612" s="103">
        <v>13</v>
      </c>
      <c r="N612" s="38">
        <f t="shared" si="1"/>
        <v>23.214285714285715</v>
      </c>
      <c r="O612" s="103">
        <v>13</v>
      </c>
      <c r="P612" s="38">
        <f t="shared" si="2"/>
        <v>100</v>
      </c>
      <c r="Q612" s="39" t="s">
        <v>63</v>
      </c>
      <c r="R612" s="39" t="str">
        <f t="shared" si="3"/>
        <v>X</v>
      </c>
      <c r="S612" s="34" t="s">
        <v>60</v>
      </c>
      <c r="T612" s="34" t="str">
        <f>IF('PL1(Full)'!$N612&gt;=20,"x",IF(AND('PL1(Full)'!$N612&gt;=15,'PL1(Full)'!$P612&gt;60),"x",""))</f>
        <v>x</v>
      </c>
      <c r="U612" s="34" t="str">
        <f>IF(AND('PL1(Full)'!$H612="Thôn",'PL1(Full)'!$I612&lt;75),"x",IF(AND('PL1(Full)'!$H612="Tổ",'PL1(Full)'!$I612&lt;100),"x","-"))</f>
        <v>x</v>
      </c>
      <c r="V612" s="34" t="str">
        <f>IF(AND('PL1(Full)'!$H612="Thôn",'PL1(Full)'!$I612&lt;140),"x",IF(AND('PL1(Full)'!$H612="Tổ",'PL1(Full)'!$I612&lt;210),"x","-"))</f>
        <v>x</v>
      </c>
      <c r="W612" s="40" t="str">
        <f t="shared" si="114"/>
        <v>Loại 3</v>
      </c>
      <c r="X612" s="34"/>
    </row>
    <row r="613" spans="1:24" ht="15.75" customHeight="1">
      <c r="A613" s="30">
        <f>_xlfn.AGGREGATE(4,7,A$6:A612)+1</f>
        <v>427</v>
      </c>
      <c r="B613" s="31" t="str">
        <f t="shared" si="113"/>
        <v>H. Chợ Mới</v>
      </c>
      <c r="C613" s="31" t="str">
        <f t="shared" si="120"/>
        <v>X. Nông Hạ</v>
      </c>
      <c r="D613" s="34"/>
      <c r="E613" s="34" t="s">
        <v>36</v>
      </c>
      <c r="F613" s="31" t="s">
        <v>696</v>
      </c>
      <c r="G613" s="34"/>
      <c r="H613" s="34" t="str">
        <f>IF(LEFT('PL1(Full)'!$F613,4)="Thôn","Thôn","Tổ")</f>
        <v>Thôn</v>
      </c>
      <c r="I613" s="36">
        <v>73</v>
      </c>
      <c r="J613" s="36">
        <v>273</v>
      </c>
      <c r="K613" s="36">
        <v>60</v>
      </c>
      <c r="L613" s="37">
        <f t="shared" si="0"/>
        <v>82.191780821917803</v>
      </c>
      <c r="M613" s="103">
        <v>6</v>
      </c>
      <c r="N613" s="38">
        <f t="shared" si="1"/>
        <v>8.2191780821917817</v>
      </c>
      <c r="O613" s="103">
        <v>5</v>
      </c>
      <c r="P613" s="38">
        <f t="shared" si="2"/>
        <v>83.333333333333329</v>
      </c>
      <c r="Q613" s="104" t="s">
        <v>56</v>
      </c>
      <c r="R613" s="104" t="str">
        <f t="shared" si="3"/>
        <v>X</v>
      </c>
      <c r="S613" s="105"/>
      <c r="T613" s="34" t="str">
        <f>IF('PL1(Full)'!$N613&gt;=20,"x",IF(AND('PL1(Full)'!$N613&gt;=15,'PL1(Full)'!$P613&gt;60),"x",""))</f>
        <v/>
      </c>
      <c r="U613" s="34" t="str">
        <f>IF(AND('PL1(Full)'!$H613="Thôn",'PL1(Full)'!$I613&lt;75),"x",IF(AND('PL1(Full)'!$H613="Tổ",'PL1(Full)'!$I613&lt;100),"x","-"))</f>
        <v>x</v>
      </c>
      <c r="V613" s="34" t="str">
        <f>IF(AND('PL1(Full)'!$H613="Thôn",'PL1(Full)'!$I613&lt;140),"x",IF(AND('PL1(Full)'!$H613="Tổ",'PL1(Full)'!$I613&lt;210),"x","-"))</f>
        <v>x</v>
      </c>
      <c r="W613" s="40" t="str">
        <f t="shared" si="114"/>
        <v>Loại 3</v>
      </c>
      <c r="X613" s="34"/>
    </row>
    <row r="614" spans="1:24" ht="15.75" customHeight="1">
      <c r="A614" s="30">
        <f>_xlfn.AGGREGATE(4,7,A$6:A613)+1</f>
        <v>428</v>
      </c>
      <c r="B614" s="31" t="str">
        <f t="shared" si="113"/>
        <v>H. Chợ Mới</v>
      </c>
      <c r="C614" s="31" t="str">
        <f t="shared" si="120"/>
        <v>X. Nông Hạ</v>
      </c>
      <c r="D614" s="34"/>
      <c r="E614" s="34" t="s">
        <v>36</v>
      </c>
      <c r="F614" s="31" t="s">
        <v>382</v>
      </c>
      <c r="G614" s="34"/>
      <c r="H614" s="34" t="str">
        <f>IF(LEFT('PL1(Full)'!$F614,4)="Thôn","Thôn","Tổ")</f>
        <v>Thôn</v>
      </c>
      <c r="I614" s="36">
        <v>59</v>
      </c>
      <c r="J614" s="36">
        <v>220</v>
      </c>
      <c r="K614" s="36">
        <v>53</v>
      </c>
      <c r="L614" s="37">
        <f t="shared" si="0"/>
        <v>89.830508474576277</v>
      </c>
      <c r="M614" s="103">
        <v>4</v>
      </c>
      <c r="N614" s="38">
        <f t="shared" si="1"/>
        <v>6.7796610169491522</v>
      </c>
      <c r="O614" s="103">
        <v>3</v>
      </c>
      <c r="P614" s="38">
        <f t="shared" si="2"/>
        <v>75</v>
      </c>
      <c r="Q614" s="106" t="s">
        <v>56</v>
      </c>
      <c r="R614" s="106" t="str">
        <f t="shared" si="3"/>
        <v>X</v>
      </c>
      <c r="S614" s="107"/>
      <c r="T614" s="34" t="str">
        <f>IF('PL1(Full)'!$N614&gt;=20,"x",IF(AND('PL1(Full)'!$N614&gt;=15,'PL1(Full)'!$P614&gt;60),"x",""))</f>
        <v/>
      </c>
      <c r="U614" s="34" t="str">
        <f>IF(AND('PL1(Full)'!$H614="Thôn",'PL1(Full)'!$I614&lt;75),"x",IF(AND('PL1(Full)'!$H614="Tổ",'PL1(Full)'!$I614&lt;100),"x","-"))</f>
        <v>x</v>
      </c>
      <c r="V614" s="34" t="str">
        <f>IF(AND('PL1(Full)'!$H614="Thôn",'PL1(Full)'!$I614&lt;140),"x",IF(AND('PL1(Full)'!$H614="Tổ",'PL1(Full)'!$I614&lt;210),"x","-"))</f>
        <v>x</v>
      </c>
      <c r="W614" s="40" t="str">
        <f t="shared" si="114"/>
        <v>Loại 3</v>
      </c>
      <c r="X614" s="34"/>
    </row>
    <row r="615" spans="1:24" ht="15.75" customHeight="1">
      <c r="A615" s="30">
        <f>_xlfn.AGGREGATE(4,7,A$6:A614)+1</f>
        <v>429</v>
      </c>
      <c r="B615" s="31" t="str">
        <f t="shared" si="113"/>
        <v>H. Chợ Mới</v>
      </c>
      <c r="C615" s="31" t="str">
        <f t="shared" si="120"/>
        <v>X. Nông Hạ</v>
      </c>
      <c r="D615" s="34"/>
      <c r="E615" s="34" t="s">
        <v>36</v>
      </c>
      <c r="F615" s="31" t="s">
        <v>697</v>
      </c>
      <c r="G615" s="34"/>
      <c r="H615" s="34" t="str">
        <f>IF(LEFT('PL1(Full)'!$F615,4)="Thôn","Thôn","Tổ")</f>
        <v>Thôn</v>
      </c>
      <c r="I615" s="36">
        <v>38</v>
      </c>
      <c r="J615" s="36">
        <v>159</v>
      </c>
      <c r="K615" s="36">
        <v>29</v>
      </c>
      <c r="L615" s="37">
        <f t="shared" si="0"/>
        <v>76.315789473684205</v>
      </c>
      <c r="M615" s="103">
        <v>2</v>
      </c>
      <c r="N615" s="38">
        <f t="shared" si="1"/>
        <v>5.2631578947368425</v>
      </c>
      <c r="O615" s="103">
        <v>1</v>
      </c>
      <c r="P615" s="38">
        <f t="shared" si="2"/>
        <v>50</v>
      </c>
      <c r="Q615" s="39" t="s">
        <v>63</v>
      </c>
      <c r="R615" s="39" t="str">
        <f t="shared" si="3"/>
        <v>X</v>
      </c>
      <c r="S615" s="34"/>
      <c r="T615" s="34" t="str">
        <f>IF('PL1(Full)'!$N615&gt;=20,"x",IF(AND('PL1(Full)'!$N615&gt;=15,'PL1(Full)'!$P615&gt;60),"x",""))</f>
        <v/>
      </c>
      <c r="U615" s="34" t="str">
        <f>IF(AND('PL1(Full)'!$H615="Thôn",'PL1(Full)'!$I615&lt;75),"x",IF(AND('PL1(Full)'!$H615="Tổ",'PL1(Full)'!$I615&lt;100),"x","-"))</f>
        <v>x</v>
      </c>
      <c r="V615" s="34" t="str">
        <f>IF(AND('PL1(Full)'!$H615="Thôn",'PL1(Full)'!$I615&lt;140),"x",IF(AND('PL1(Full)'!$H615="Tổ",'PL1(Full)'!$I615&lt;210),"x","-"))</f>
        <v>x</v>
      </c>
      <c r="W615" s="40" t="str">
        <f t="shared" si="114"/>
        <v>Loại 3</v>
      </c>
      <c r="X615" s="34"/>
    </row>
    <row r="616" spans="1:24" ht="15.75" customHeight="1">
      <c r="A616" s="30">
        <f>_xlfn.AGGREGATE(4,7,A$6:A615)+1</f>
        <v>430</v>
      </c>
      <c r="B616" s="31" t="str">
        <f t="shared" si="113"/>
        <v>H. Chợ Mới</v>
      </c>
      <c r="C616" s="66" t="str">
        <f t="shared" si="120"/>
        <v>X. Nông Hạ</v>
      </c>
      <c r="D616" s="34"/>
      <c r="E616" s="34" t="s">
        <v>36</v>
      </c>
      <c r="F616" s="31" t="s">
        <v>698</v>
      </c>
      <c r="G616" s="34"/>
      <c r="H616" s="34" t="str">
        <f>IF(LEFT('PL1(Full)'!$F616,4)="Thôn","Thôn","Tổ")</f>
        <v>Thôn</v>
      </c>
      <c r="I616" s="36">
        <v>40</v>
      </c>
      <c r="J616" s="36">
        <v>167</v>
      </c>
      <c r="K616" s="36">
        <v>29</v>
      </c>
      <c r="L616" s="37">
        <f t="shared" si="0"/>
        <v>72.5</v>
      </c>
      <c r="M616" s="103">
        <v>1</v>
      </c>
      <c r="N616" s="38">
        <f t="shared" si="1"/>
        <v>2.5</v>
      </c>
      <c r="O616" s="103">
        <v>1</v>
      </c>
      <c r="P616" s="38">
        <f t="shared" si="2"/>
        <v>100</v>
      </c>
      <c r="Q616" s="39" t="s">
        <v>63</v>
      </c>
      <c r="R616" s="39" t="str">
        <f t="shared" si="3"/>
        <v>X</v>
      </c>
      <c r="S616" s="34"/>
      <c r="T616" s="34" t="str">
        <f>IF('PL1(Full)'!$N616&gt;=20,"x",IF(AND('PL1(Full)'!$N616&gt;=15,'PL1(Full)'!$P616&gt;60),"x",""))</f>
        <v/>
      </c>
      <c r="U616" s="34" t="str">
        <f>IF(AND('PL1(Full)'!$H616="Thôn",'PL1(Full)'!$I616&lt;75),"x",IF(AND('PL1(Full)'!$H616="Tổ",'PL1(Full)'!$I616&lt;100),"x","-"))</f>
        <v>x</v>
      </c>
      <c r="V616" s="34" t="str">
        <f>IF(AND('PL1(Full)'!$H616="Thôn",'PL1(Full)'!$I616&lt;140),"x",IF(AND('PL1(Full)'!$H616="Tổ",'PL1(Full)'!$I616&lt;210),"x","-"))</f>
        <v>x</v>
      </c>
      <c r="W616" s="40" t="str">
        <f t="shared" si="114"/>
        <v>Loại 3</v>
      </c>
      <c r="X616" s="34"/>
    </row>
    <row r="617" spans="1:24" ht="15.75" customHeight="1">
      <c r="A617" s="30">
        <f>_xlfn.AGGREGATE(4,7,A$6:A616)+1</f>
        <v>431</v>
      </c>
      <c r="B617" s="31" t="str">
        <f t="shared" si="113"/>
        <v>H. Chợ Mới</v>
      </c>
      <c r="C617" s="31" t="str">
        <f t="shared" si="120"/>
        <v>X. Nông Hạ</v>
      </c>
      <c r="D617" s="34"/>
      <c r="E617" s="34" t="s">
        <v>36</v>
      </c>
      <c r="F617" s="31" t="s">
        <v>280</v>
      </c>
      <c r="G617" s="34"/>
      <c r="H617" s="34" t="str">
        <f>IF(LEFT('PL1(Full)'!$F617,4)="Thôn","Thôn","Tổ")</f>
        <v>Thôn</v>
      </c>
      <c r="I617" s="36">
        <v>40</v>
      </c>
      <c r="J617" s="36">
        <v>156</v>
      </c>
      <c r="K617" s="36">
        <v>40</v>
      </c>
      <c r="L617" s="37">
        <f t="shared" si="0"/>
        <v>100</v>
      </c>
      <c r="M617" s="103">
        <v>7</v>
      </c>
      <c r="N617" s="38">
        <f t="shared" si="1"/>
        <v>17.5</v>
      </c>
      <c r="O617" s="103">
        <v>7</v>
      </c>
      <c r="P617" s="38">
        <f t="shared" si="2"/>
        <v>100</v>
      </c>
      <c r="Q617" s="39" t="s">
        <v>63</v>
      </c>
      <c r="R617" s="39" t="str">
        <f t="shared" si="3"/>
        <v>X</v>
      </c>
      <c r="S617" s="34"/>
      <c r="T617" s="34" t="str">
        <f>IF('PL1(Full)'!$N617&gt;=20,"x",IF(AND('PL1(Full)'!$N617&gt;=15,'PL1(Full)'!$P617&gt;60),"x",""))</f>
        <v>x</v>
      </c>
      <c r="U617" s="34" t="str">
        <f>IF(AND('PL1(Full)'!$H617="Thôn",'PL1(Full)'!$I617&lt;75),"x",IF(AND('PL1(Full)'!$H617="Tổ",'PL1(Full)'!$I617&lt;100),"x","-"))</f>
        <v>x</v>
      </c>
      <c r="V617" s="34" t="str">
        <f>IF(AND('PL1(Full)'!$H617="Thôn",'PL1(Full)'!$I617&lt;140),"x",IF(AND('PL1(Full)'!$H617="Tổ",'PL1(Full)'!$I617&lt;210),"x","-"))</f>
        <v>x</v>
      </c>
      <c r="W617" s="40" t="str">
        <f t="shared" si="114"/>
        <v>Loại 3</v>
      </c>
      <c r="X617" s="34"/>
    </row>
    <row r="618" spans="1:24" ht="15.75" customHeight="1">
      <c r="A618" s="30">
        <f>_xlfn.AGGREGATE(4,7,A$6:A617)+1</f>
        <v>432</v>
      </c>
      <c r="B618" s="31" t="str">
        <f t="shared" si="113"/>
        <v>H. Chợ Mới</v>
      </c>
      <c r="C618" s="31" t="str">
        <f t="shared" si="120"/>
        <v>X. Nông Hạ</v>
      </c>
      <c r="D618" s="34"/>
      <c r="E618" s="34" t="s">
        <v>36</v>
      </c>
      <c r="F618" s="31" t="s">
        <v>699</v>
      </c>
      <c r="G618" s="34"/>
      <c r="H618" s="34" t="str">
        <f>IF(LEFT('PL1(Full)'!$F618,4)="Thôn","Thôn","Tổ")</f>
        <v>Thôn</v>
      </c>
      <c r="I618" s="36">
        <v>66</v>
      </c>
      <c r="J618" s="36">
        <v>222</v>
      </c>
      <c r="K618" s="36">
        <v>47</v>
      </c>
      <c r="L618" s="37">
        <f t="shared" si="0"/>
        <v>71.212121212121218</v>
      </c>
      <c r="M618" s="103">
        <v>4</v>
      </c>
      <c r="N618" s="38">
        <f t="shared" si="1"/>
        <v>6.0606060606060606</v>
      </c>
      <c r="O618" s="103">
        <v>2</v>
      </c>
      <c r="P618" s="38">
        <f t="shared" si="2"/>
        <v>50</v>
      </c>
      <c r="Q618" s="61" t="s">
        <v>63</v>
      </c>
      <c r="R618" s="106" t="str">
        <f t="shared" si="3"/>
        <v>X</v>
      </c>
      <c r="S618" s="107"/>
      <c r="T618" s="34" t="str">
        <f>IF('PL1(Full)'!$N618&gt;=20,"x",IF(AND('PL1(Full)'!$N618&gt;=15,'PL1(Full)'!$P618&gt;60),"x",""))</f>
        <v/>
      </c>
      <c r="U618" s="34" t="str">
        <f>IF(AND('PL1(Full)'!$H618="Thôn",'PL1(Full)'!$I618&lt;75),"x",IF(AND('PL1(Full)'!$H618="Tổ",'PL1(Full)'!$I618&lt;100),"x","-"))</f>
        <v>x</v>
      </c>
      <c r="V618" s="34" t="str">
        <f>IF(AND('PL1(Full)'!$H618="Thôn",'PL1(Full)'!$I618&lt;140),"x",IF(AND('PL1(Full)'!$H618="Tổ",'PL1(Full)'!$I618&lt;210),"x","-"))</f>
        <v>x</v>
      </c>
      <c r="W618" s="40" t="str">
        <f t="shared" si="114"/>
        <v>Loại 3</v>
      </c>
      <c r="X618" s="34"/>
    </row>
    <row r="619" spans="1:24" ht="15.75" hidden="1" customHeight="1">
      <c r="A619" s="30">
        <f>_xlfn.AGGREGATE(4,7,A$6:A618)+1</f>
        <v>433</v>
      </c>
      <c r="B619" s="31" t="str">
        <f t="shared" si="113"/>
        <v>H. Chợ Mới</v>
      </c>
      <c r="C619" s="31" t="str">
        <f t="shared" si="120"/>
        <v>X. Nông Hạ</v>
      </c>
      <c r="D619" s="34"/>
      <c r="E619" s="34" t="s">
        <v>36</v>
      </c>
      <c r="F619" s="54" t="s">
        <v>97</v>
      </c>
      <c r="G619" s="34"/>
      <c r="H619" s="34" t="str">
        <f>IF(LEFT('PL1(Full)'!$F619,4)="Thôn","Thôn","Tổ")</f>
        <v>Thôn</v>
      </c>
      <c r="I619" s="36">
        <v>110</v>
      </c>
      <c r="J619" s="36">
        <v>472</v>
      </c>
      <c r="K619" s="36">
        <v>99</v>
      </c>
      <c r="L619" s="37">
        <f t="shared" si="0"/>
        <v>90</v>
      </c>
      <c r="M619" s="103">
        <v>42</v>
      </c>
      <c r="N619" s="38">
        <f t="shared" si="1"/>
        <v>38.18181818181818</v>
      </c>
      <c r="O619" s="103">
        <v>40</v>
      </c>
      <c r="P619" s="38">
        <f t="shared" si="2"/>
        <v>95.238095238095241</v>
      </c>
      <c r="Q619" s="39" t="s">
        <v>49</v>
      </c>
      <c r="R619" s="39" t="str">
        <f t="shared" si="3"/>
        <v>X</v>
      </c>
      <c r="S619" s="34" t="s">
        <v>60</v>
      </c>
      <c r="T619" s="34" t="str">
        <f>IF('PL1(Full)'!$N619&gt;=20,"x",IF(AND('PL1(Full)'!$N619&gt;=15,'PL1(Full)'!$P619&gt;60),"x",""))</f>
        <v>x</v>
      </c>
      <c r="U619" s="34" t="str">
        <f>IF(AND('PL1(Full)'!$H619="Thôn",'PL1(Full)'!$I619&lt;75),"x",IF(AND('PL1(Full)'!$H619="Tổ",'PL1(Full)'!$I619&lt;100),"x","-"))</f>
        <v>-</v>
      </c>
      <c r="V619" s="34" t="str">
        <f>IF(AND('PL1(Full)'!$H619="Thôn",'PL1(Full)'!$I619&lt;140),"x",IF(AND('PL1(Full)'!$H619="Tổ",'PL1(Full)'!$I619&lt;210),"x","-"))</f>
        <v>x</v>
      </c>
      <c r="W619" s="40" t="str">
        <f t="shared" si="114"/>
        <v>Loại 2</v>
      </c>
      <c r="X619" s="34"/>
    </row>
    <row r="620" spans="1:24" ht="15.75" customHeight="1">
      <c r="A620" s="30">
        <f>_xlfn.AGGREGATE(4,7,A$6:A619)+1</f>
        <v>433</v>
      </c>
      <c r="B620" s="31" t="str">
        <f t="shared" si="113"/>
        <v>H. Chợ Mới</v>
      </c>
      <c r="C620" s="31" t="str">
        <f t="shared" si="120"/>
        <v>X. Nông Hạ</v>
      </c>
      <c r="D620" s="34"/>
      <c r="E620" s="34" t="s">
        <v>36</v>
      </c>
      <c r="F620" s="31" t="s">
        <v>700</v>
      </c>
      <c r="G620" s="34"/>
      <c r="H620" s="34" t="str">
        <f>IF(LEFT('PL1(Full)'!$F620,4)="Thôn","Thôn","Tổ")</f>
        <v>Thôn</v>
      </c>
      <c r="I620" s="36">
        <v>61</v>
      </c>
      <c r="J620" s="36">
        <v>255</v>
      </c>
      <c r="K620" s="36">
        <v>45</v>
      </c>
      <c r="L620" s="37">
        <f t="shared" si="0"/>
        <v>73.770491803278688</v>
      </c>
      <c r="M620" s="103">
        <v>4</v>
      </c>
      <c r="N620" s="38">
        <f t="shared" si="1"/>
        <v>6.557377049180328</v>
      </c>
      <c r="O620" s="103">
        <v>3</v>
      </c>
      <c r="P620" s="38">
        <f t="shared" si="2"/>
        <v>75</v>
      </c>
      <c r="Q620" s="61" t="s">
        <v>63</v>
      </c>
      <c r="R620" s="106" t="str">
        <f t="shared" si="3"/>
        <v>X</v>
      </c>
      <c r="S620" s="107"/>
      <c r="T620" s="34" t="str">
        <f>IF('PL1(Full)'!$N620&gt;=20,"x",IF(AND('PL1(Full)'!$N620&gt;=15,'PL1(Full)'!$P620&gt;60),"x",""))</f>
        <v/>
      </c>
      <c r="U620" s="34" t="str">
        <f>IF(AND('PL1(Full)'!$H620="Thôn",'PL1(Full)'!$I620&lt;75),"x",IF(AND('PL1(Full)'!$H620="Tổ",'PL1(Full)'!$I620&lt;100),"x","-"))</f>
        <v>x</v>
      </c>
      <c r="V620" s="34" t="str">
        <f>IF(AND('PL1(Full)'!$H620="Thôn",'PL1(Full)'!$I620&lt;140),"x",IF(AND('PL1(Full)'!$H620="Tổ",'PL1(Full)'!$I620&lt;210),"x","-"))</f>
        <v>x</v>
      </c>
      <c r="W620" s="40" t="str">
        <f t="shared" si="114"/>
        <v>Loại 3</v>
      </c>
      <c r="X620" s="34"/>
    </row>
    <row r="621" spans="1:24" ht="15.75" hidden="1" customHeight="1">
      <c r="A621" s="30">
        <f>_xlfn.AGGREGATE(4,7,A$6:A620)+1</f>
        <v>434</v>
      </c>
      <c r="B621" s="31" t="str">
        <f t="shared" si="113"/>
        <v>H. Chợ Mới</v>
      </c>
      <c r="C621" s="31" t="str">
        <f t="shared" si="120"/>
        <v>X. Nông Hạ</v>
      </c>
      <c r="D621" s="34"/>
      <c r="E621" s="34" t="s">
        <v>36</v>
      </c>
      <c r="F621" s="31" t="s">
        <v>701</v>
      </c>
      <c r="G621" s="34"/>
      <c r="H621" s="34" t="str">
        <f>IF(LEFT('PL1(Full)'!$F621,4)="Thôn","Thôn","Tổ")</f>
        <v>Thôn</v>
      </c>
      <c r="I621" s="36">
        <v>164</v>
      </c>
      <c r="J621" s="36">
        <v>590</v>
      </c>
      <c r="K621" s="36">
        <v>42</v>
      </c>
      <c r="L621" s="37">
        <f t="shared" si="0"/>
        <v>25.609756097560975</v>
      </c>
      <c r="M621" s="103">
        <v>8</v>
      </c>
      <c r="N621" s="38">
        <f t="shared" si="1"/>
        <v>4.8780487804878048</v>
      </c>
      <c r="O621" s="103">
        <v>4</v>
      </c>
      <c r="P621" s="38">
        <f t="shared" si="2"/>
        <v>50</v>
      </c>
      <c r="Q621" s="61" t="s">
        <v>49</v>
      </c>
      <c r="R621" s="106" t="str">
        <f t="shared" si="3"/>
        <v>X</v>
      </c>
      <c r="S621" s="107"/>
      <c r="T621" s="34" t="str">
        <f>IF('PL1(Full)'!$N621&gt;=20,"x",IF(AND('PL1(Full)'!$N621&gt;=15,'PL1(Full)'!$P621&gt;60),"x",""))</f>
        <v/>
      </c>
      <c r="U621" s="34" t="str">
        <f>IF(AND('PL1(Full)'!$H621="Thôn",'PL1(Full)'!$I621&lt;75),"x",IF(AND('PL1(Full)'!$H621="Tổ",'PL1(Full)'!$I621&lt;100),"x","-"))</f>
        <v>-</v>
      </c>
      <c r="V621" s="34" t="str">
        <f>IF(AND('PL1(Full)'!$H621="Thôn",'PL1(Full)'!$I621&lt;140),"x",IF(AND('PL1(Full)'!$H621="Tổ",'PL1(Full)'!$I621&lt;210),"x","-"))</f>
        <v>-</v>
      </c>
      <c r="W621" s="40" t="str">
        <f t="shared" si="114"/>
        <v>Loại 1</v>
      </c>
      <c r="X621" s="34"/>
    </row>
    <row r="622" spans="1:24" ht="15.75" customHeight="1">
      <c r="A622" s="41">
        <f>_xlfn.AGGREGATE(4,7,A$6:A621)+1</f>
        <v>434</v>
      </c>
      <c r="B622" s="42" t="str">
        <f t="shared" si="113"/>
        <v>H. Chợ Mới</v>
      </c>
      <c r="C622" s="42" t="str">
        <f t="shared" si="120"/>
        <v>X. Nông Hạ</v>
      </c>
      <c r="D622" s="50"/>
      <c r="E622" s="50" t="s">
        <v>36</v>
      </c>
      <c r="F622" s="42" t="s">
        <v>702</v>
      </c>
      <c r="G622" s="50"/>
      <c r="H622" s="50" t="str">
        <f>IF(LEFT('PL1(Full)'!$F622,4)="Thôn","Thôn","Tổ")</f>
        <v>Thôn</v>
      </c>
      <c r="I622" s="46">
        <v>43</v>
      </c>
      <c r="J622" s="46">
        <v>127</v>
      </c>
      <c r="K622" s="46">
        <v>19</v>
      </c>
      <c r="L622" s="47">
        <f t="shared" si="0"/>
        <v>44.186046511627907</v>
      </c>
      <c r="M622" s="108">
        <v>2</v>
      </c>
      <c r="N622" s="48">
        <f t="shared" si="1"/>
        <v>4.6511627906976747</v>
      </c>
      <c r="O622" s="108">
        <v>0</v>
      </c>
      <c r="P622" s="48">
        <f t="shared" si="2"/>
        <v>0</v>
      </c>
      <c r="Q622" s="49" t="s">
        <v>63</v>
      </c>
      <c r="R622" s="49" t="str">
        <f t="shared" si="3"/>
        <v>X</v>
      </c>
      <c r="S622" s="50"/>
      <c r="T622" s="50" t="str">
        <f>IF('PL1(Full)'!$N622&gt;=20,"x",IF(AND('PL1(Full)'!$N622&gt;=15,'PL1(Full)'!$P622&gt;60),"x",""))</f>
        <v/>
      </c>
      <c r="U622" s="50" t="str">
        <f>IF(AND('PL1(Full)'!$H622="Thôn",'PL1(Full)'!$I622&lt;75),"x",IF(AND('PL1(Full)'!$H622="Tổ",'PL1(Full)'!$I622&lt;100),"x","-"))</f>
        <v>x</v>
      </c>
      <c r="V622" s="34" t="str">
        <f>IF(AND('PL1(Full)'!$H622="Thôn",'PL1(Full)'!$I622&lt;140),"x",IF(AND('PL1(Full)'!$H622="Tổ",'PL1(Full)'!$I622&lt;210),"x","-"))</f>
        <v>x</v>
      </c>
      <c r="W622" s="51" t="str">
        <f t="shared" si="114"/>
        <v>Loại 3</v>
      </c>
      <c r="X622" s="50"/>
    </row>
    <row r="623" spans="1:24" ht="15.75" customHeight="1">
      <c r="A623" s="52">
        <f>_xlfn.AGGREGATE(4,7,A$6:A622)+1</f>
        <v>435</v>
      </c>
      <c r="B623" s="14" t="str">
        <f t="shared" si="113"/>
        <v>H. Chợ Mới</v>
      </c>
      <c r="C623" s="14" t="s">
        <v>703</v>
      </c>
      <c r="D623" s="25" t="s">
        <v>58</v>
      </c>
      <c r="E623" s="25" t="s">
        <v>58</v>
      </c>
      <c r="F623" s="14" t="s">
        <v>704</v>
      </c>
      <c r="G623" s="25"/>
      <c r="H623" s="25" t="str">
        <f>IF(LEFT('PL1(Full)'!$F623,4)="Thôn","Thôn","Tổ")</f>
        <v>Thôn</v>
      </c>
      <c r="I623" s="19">
        <v>58</v>
      </c>
      <c r="J623" s="20">
        <v>259</v>
      </c>
      <c r="K623" s="20">
        <v>49</v>
      </c>
      <c r="L623" s="21">
        <f t="shared" si="0"/>
        <v>84.482758620689651</v>
      </c>
      <c r="M623" s="20">
        <v>13</v>
      </c>
      <c r="N623" s="22">
        <f t="shared" si="1"/>
        <v>22.413793103448278</v>
      </c>
      <c r="O623" s="20">
        <v>12</v>
      </c>
      <c r="P623" s="22">
        <f t="shared" si="2"/>
        <v>92.307692307692307</v>
      </c>
      <c r="Q623" s="23" t="s">
        <v>158</v>
      </c>
      <c r="R623" s="24" t="str">
        <f t="shared" si="3"/>
        <v>X</v>
      </c>
      <c r="S623" s="25" t="s">
        <v>60</v>
      </c>
      <c r="T623" s="26" t="str">
        <f>IF('PL1(Full)'!$N623&gt;=20,"x",IF(AND('PL1(Full)'!$N623&gt;=15,'PL1(Full)'!$P623&gt;60),"x",""))</f>
        <v>x</v>
      </c>
      <c r="U623" s="27" t="str">
        <f>IF(AND('PL1(Full)'!$H623="Thôn",'PL1(Full)'!$I623&lt;75),"x",IF(AND('PL1(Full)'!$H623="Tổ",'PL1(Full)'!$I623&lt;100),"x","-"))</f>
        <v>x</v>
      </c>
      <c r="V623" s="28" t="str">
        <f>IF(AND('PL1(Full)'!$H623="Thôn",'PL1(Full)'!$I623&lt;140),"x",IF(AND('PL1(Full)'!$H623="Tổ",'PL1(Full)'!$I623&lt;210),"x","-"))</f>
        <v>x</v>
      </c>
      <c r="W623" s="29" t="str">
        <f t="shared" si="114"/>
        <v>Loại 3</v>
      </c>
      <c r="X623" s="25"/>
    </row>
    <row r="624" spans="1:24" ht="15.75" hidden="1" customHeight="1">
      <c r="A624" s="30">
        <f>_xlfn.AGGREGATE(4,7,A$6:A623)+1</f>
        <v>436</v>
      </c>
      <c r="B624" s="31" t="str">
        <f t="shared" si="113"/>
        <v>H. Chợ Mới</v>
      </c>
      <c r="C624" s="31" t="str">
        <f t="shared" ref="C624:C635" si="121">C623</f>
        <v>X. Quảng Chu</v>
      </c>
      <c r="D624" s="34"/>
      <c r="E624" s="34" t="s">
        <v>58</v>
      </c>
      <c r="F624" s="31" t="s">
        <v>705</v>
      </c>
      <c r="G624" s="34"/>
      <c r="H624" s="34" t="str">
        <f>IF(LEFT('PL1(Full)'!$F624,4)="Thôn","Thôn","Tổ")</f>
        <v>Thôn</v>
      </c>
      <c r="I624" s="35">
        <v>81</v>
      </c>
      <c r="J624" s="36">
        <v>330</v>
      </c>
      <c r="K624" s="36">
        <v>72</v>
      </c>
      <c r="L624" s="37">
        <f t="shared" si="0"/>
        <v>88.888888888888886</v>
      </c>
      <c r="M624" s="36">
        <v>10</v>
      </c>
      <c r="N624" s="38">
        <f t="shared" si="1"/>
        <v>12.345679012345679</v>
      </c>
      <c r="O624" s="36">
        <v>10</v>
      </c>
      <c r="P624" s="38">
        <f t="shared" si="2"/>
        <v>100</v>
      </c>
      <c r="Q624" s="39" t="s">
        <v>158</v>
      </c>
      <c r="R624" s="39" t="str">
        <f t="shared" si="3"/>
        <v>X</v>
      </c>
      <c r="S624" s="34" t="s">
        <v>60</v>
      </c>
      <c r="T624" s="34" t="str">
        <f>IF('PL1(Full)'!$N624&gt;=20,"x",IF(AND('PL1(Full)'!$N624&gt;=15,'PL1(Full)'!$P624&gt;60),"x",""))</f>
        <v/>
      </c>
      <c r="U624" s="34" t="str">
        <f>IF(AND('PL1(Full)'!$H624="Thôn",'PL1(Full)'!$I624&lt;75),"x",IF(AND('PL1(Full)'!$H624="Tổ",'PL1(Full)'!$I624&lt;100),"x","-"))</f>
        <v>-</v>
      </c>
      <c r="V624" s="34" t="str">
        <f>IF(AND('PL1(Full)'!$H624="Thôn",'PL1(Full)'!$I624&lt;140),"x",IF(AND('PL1(Full)'!$H624="Tổ",'PL1(Full)'!$I624&lt;210),"x","-"))</f>
        <v>x</v>
      </c>
      <c r="W624" s="40" t="str">
        <f t="shared" si="114"/>
        <v>Loại 3</v>
      </c>
      <c r="X624" s="34"/>
    </row>
    <row r="625" spans="1:24" ht="15.75" customHeight="1">
      <c r="A625" s="30">
        <f>_xlfn.AGGREGATE(4,7,A$6:A624)+1</f>
        <v>436</v>
      </c>
      <c r="B625" s="31" t="str">
        <f t="shared" si="113"/>
        <v>H. Chợ Mới</v>
      </c>
      <c r="C625" s="31" t="str">
        <f t="shared" si="121"/>
        <v>X. Quảng Chu</v>
      </c>
      <c r="D625" s="34"/>
      <c r="E625" s="34" t="s">
        <v>58</v>
      </c>
      <c r="F625" s="31" t="s">
        <v>706</v>
      </c>
      <c r="G625" s="34"/>
      <c r="H625" s="34" t="str">
        <f>IF(LEFT('PL1(Full)'!$F625,4)="Thôn","Thôn","Tổ")</f>
        <v>Thôn</v>
      </c>
      <c r="I625" s="35">
        <v>60</v>
      </c>
      <c r="J625" s="36">
        <v>252</v>
      </c>
      <c r="K625" s="36">
        <v>43</v>
      </c>
      <c r="L625" s="37">
        <f t="shared" si="0"/>
        <v>71.666666666666671</v>
      </c>
      <c r="M625" s="36">
        <v>8</v>
      </c>
      <c r="N625" s="38">
        <f t="shared" si="1"/>
        <v>13.333333333333334</v>
      </c>
      <c r="O625" s="36">
        <v>7</v>
      </c>
      <c r="P625" s="38">
        <f t="shared" si="2"/>
        <v>87.5</v>
      </c>
      <c r="Q625" s="39" t="s">
        <v>82</v>
      </c>
      <c r="R625" s="39" t="str">
        <f t="shared" si="3"/>
        <v>X</v>
      </c>
      <c r="S625" s="34" t="s">
        <v>60</v>
      </c>
      <c r="T625" s="34" t="str">
        <f>IF('PL1(Full)'!$N625&gt;=20,"x",IF(AND('PL1(Full)'!$N625&gt;=15,'PL1(Full)'!$P625&gt;60),"x",""))</f>
        <v/>
      </c>
      <c r="U625" s="34" t="str">
        <f>IF(AND('PL1(Full)'!$H625="Thôn",'PL1(Full)'!$I625&lt;75),"x",IF(AND('PL1(Full)'!$H625="Tổ",'PL1(Full)'!$I625&lt;100),"x","-"))</f>
        <v>x</v>
      </c>
      <c r="V625" s="34" t="str">
        <f>IF(AND('PL1(Full)'!$H625="Thôn",'PL1(Full)'!$I625&lt;140),"x",IF(AND('PL1(Full)'!$H625="Tổ",'PL1(Full)'!$I625&lt;210),"x","-"))</f>
        <v>x</v>
      </c>
      <c r="W625" s="40" t="str">
        <f t="shared" si="114"/>
        <v>Loại 3</v>
      </c>
      <c r="X625" s="34"/>
    </row>
    <row r="626" spans="1:24" ht="15.75" customHeight="1">
      <c r="A626" s="30">
        <f>_xlfn.AGGREGATE(4,7,A$6:A625)+1</f>
        <v>437</v>
      </c>
      <c r="B626" s="31" t="str">
        <f t="shared" si="113"/>
        <v>H. Chợ Mới</v>
      </c>
      <c r="C626" s="31" t="str">
        <f t="shared" si="121"/>
        <v>X. Quảng Chu</v>
      </c>
      <c r="D626" s="34"/>
      <c r="E626" s="34" t="s">
        <v>58</v>
      </c>
      <c r="F626" s="31" t="s">
        <v>707</v>
      </c>
      <c r="G626" s="34"/>
      <c r="H626" s="34" t="str">
        <f>IF(LEFT('PL1(Full)'!$F626,4)="Thôn","Thôn","Tổ")</f>
        <v>Thôn</v>
      </c>
      <c r="I626" s="35">
        <v>62</v>
      </c>
      <c r="J626" s="36">
        <v>236</v>
      </c>
      <c r="K626" s="36">
        <v>34</v>
      </c>
      <c r="L626" s="37">
        <f t="shared" si="0"/>
        <v>54.838709677419352</v>
      </c>
      <c r="M626" s="36">
        <v>15</v>
      </c>
      <c r="N626" s="38">
        <f t="shared" si="1"/>
        <v>24.193548387096776</v>
      </c>
      <c r="O626" s="36">
        <v>6</v>
      </c>
      <c r="P626" s="38">
        <f t="shared" si="2"/>
        <v>40</v>
      </c>
      <c r="Q626" s="39" t="s">
        <v>63</v>
      </c>
      <c r="R626" s="39" t="str">
        <f t="shared" si="3"/>
        <v>X</v>
      </c>
      <c r="S626" s="34" t="s">
        <v>60</v>
      </c>
      <c r="T626" s="34" t="str">
        <f>IF('PL1(Full)'!$N626&gt;=20,"x",IF(AND('PL1(Full)'!$N626&gt;=15,'PL1(Full)'!$P626&gt;60),"x",""))</f>
        <v>x</v>
      </c>
      <c r="U626" s="34" t="str">
        <f>IF(AND('PL1(Full)'!$H626="Thôn",'PL1(Full)'!$I626&lt;75),"x",IF(AND('PL1(Full)'!$H626="Tổ",'PL1(Full)'!$I626&lt;100),"x","-"))</f>
        <v>x</v>
      </c>
      <c r="V626" s="34" t="str">
        <f>IF(AND('PL1(Full)'!$H626="Thôn",'PL1(Full)'!$I626&lt;140),"x",IF(AND('PL1(Full)'!$H626="Tổ",'PL1(Full)'!$I626&lt;210),"x","-"))</f>
        <v>x</v>
      </c>
      <c r="W626" s="40" t="str">
        <f t="shared" si="114"/>
        <v>Loại 3</v>
      </c>
      <c r="X626" s="34"/>
    </row>
    <row r="627" spans="1:24" ht="15.75" customHeight="1">
      <c r="A627" s="30">
        <f>_xlfn.AGGREGATE(4,7,A$6:A626)+1</f>
        <v>438</v>
      </c>
      <c r="B627" s="31" t="str">
        <f t="shared" si="113"/>
        <v>H. Chợ Mới</v>
      </c>
      <c r="C627" s="31" t="str">
        <f t="shared" si="121"/>
        <v>X. Quảng Chu</v>
      </c>
      <c r="D627" s="34"/>
      <c r="E627" s="34" t="s">
        <v>58</v>
      </c>
      <c r="F627" s="31" t="s">
        <v>708</v>
      </c>
      <c r="G627" s="34"/>
      <c r="H627" s="34" t="str">
        <f>IF(LEFT('PL1(Full)'!$F627,4)="Thôn","Thôn","Tổ")</f>
        <v>Thôn</v>
      </c>
      <c r="I627" s="35">
        <v>50</v>
      </c>
      <c r="J627" s="36">
        <v>192</v>
      </c>
      <c r="K627" s="36">
        <v>37</v>
      </c>
      <c r="L627" s="37">
        <f t="shared" si="0"/>
        <v>74</v>
      </c>
      <c r="M627" s="36">
        <v>4</v>
      </c>
      <c r="N627" s="38">
        <f t="shared" si="1"/>
        <v>8</v>
      </c>
      <c r="O627" s="36">
        <v>2</v>
      </c>
      <c r="P627" s="38">
        <f t="shared" si="2"/>
        <v>50</v>
      </c>
      <c r="Q627" s="39" t="s">
        <v>82</v>
      </c>
      <c r="R627" s="39" t="str">
        <f t="shared" si="3"/>
        <v>X</v>
      </c>
      <c r="S627" s="34" t="s">
        <v>60</v>
      </c>
      <c r="T627" s="34" t="str">
        <f>IF('PL1(Full)'!$N627&gt;=20,"x",IF(AND('PL1(Full)'!$N627&gt;=15,'PL1(Full)'!$P627&gt;60),"x",""))</f>
        <v/>
      </c>
      <c r="U627" s="34" t="str">
        <f>IF(AND('PL1(Full)'!$H627="Thôn",'PL1(Full)'!$I627&lt;75),"x",IF(AND('PL1(Full)'!$H627="Tổ",'PL1(Full)'!$I627&lt;100),"x","-"))</f>
        <v>x</v>
      </c>
      <c r="V627" s="34" t="str">
        <f>IF(AND('PL1(Full)'!$H627="Thôn",'PL1(Full)'!$I627&lt;140),"x",IF(AND('PL1(Full)'!$H627="Tổ",'PL1(Full)'!$I627&lt;210),"x","-"))</f>
        <v>x</v>
      </c>
      <c r="W627" s="40" t="str">
        <f t="shared" si="114"/>
        <v>Loại 3</v>
      </c>
      <c r="X627" s="34"/>
    </row>
    <row r="628" spans="1:24" ht="15.75" customHeight="1">
      <c r="A628" s="30">
        <f>_xlfn.AGGREGATE(4,7,A$6:A627)+1</f>
        <v>439</v>
      </c>
      <c r="B628" s="31" t="str">
        <f t="shared" si="113"/>
        <v>H. Chợ Mới</v>
      </c>
      <c r="C628" s="31" t="str">
        <f t="shared" si="121"/>
        <v>X. Quảng Chu</v>
      </c>
      <c r="D628" s="34"/>
      <c r="E628" s="34" t="s">
        <v>58</v>
      </c>
      <c r="F628" s="31" t="s">
        <v>709</v>
      </c>
      <c r="G628" s="34"/>
      <c r="H628" s="34" t="str">
        <f>IF(LEFT('PL1(Full)'!$F628,4)="Thôn","Thôn","Tổ")</f>
        <v>Thôn</v>
      </c>
      <c r="I628" s="35">
        <v>63</v>
      </c>
      <c r="J628" s="36">
        <v>230</v>
      </c>
      <c r="K628" s="36">
        <v>19</v>
      </c>
      <c r="L628" s="37">
        <f t="shared" si="0"/>
        <v>30.158730158730158</v>
      </c>
      <c r="M628" s="36">
        <v>16</v>
      </c>
      <c r="N628" s="38">
        <f t="shared" si="1"/>
        <v>25.396825396825395</v>
      </c>
      <c r="O628" s="36">
        <v>5</v>
      </c>
      <c r="P628" s="38">
        <f t="shared" si="2"/>
        <v>31.25</v>
      </c>
      <c r="Q628" s="39" t="s">
        <v>63</v>
      </c>
      <c r="R628" s="39" t="str">
        <f t="shared" si="3"/>
        <v>X</v>
      </c>
      <c r="S628" s="34" t="s">
        <v>60</v>
      </c>
      <c r="T628" s="34" t="str">
        <f>IF('PL1(Full)'!$N628&gt;=20,"x",IF(AND('PL1(Full)'!$N628&gt;=15,'PL1(Full)'!$P628&gt;60),"x",""))</f>
        <v>x</v>
      </c>
      <c r="U628" s="34" t="str">
        <f>IF(AND('PL1(Full)'!$H628="Thôn",'PL1(Full)'!$I628&lt;75),"x",IF(AND('PL1(Full)'!$H628="Tổ",'PL1(Full)'!$I628&lt;100),"x","-"))</f>
        <v>x</v>
      </c>
      <c r="V628" s="34" t="str">
        <f>IF(AND('PL1(Full)'!$H628="Thôn",'PL1(Full)'!$I628&lt;140),"x",IF(AND('PL1(Full)'!$H628="Tổ",'PL1(Full)'!$I628&lt;210),"x","-"))</f>
        <v>x</v>
      </c>
      <c r="W628" s="40" t="str">
        <f t="shared" si="114"/>
        <v>Loại 3</v>
      </c>
      <c r="X628" s="34"/>
    </row>
    <row r="629" spans="1:24" ht="15.75" hidden="1" customHeight="1">
      <c r="A629" s="30">
        <f>_xlfn.AGGREGATE(4,7,A$6:A628)+1</f>
        <v>440</v>
      </c>
      <c r="B629" s="31" t="str">
        <f t="shared" si="113"/>
        <v>H. Chợ Mới</v>
      </c>
      <c r="C629" s="31" t="str">
        <f t="shared" si="121"/>
        <v>X. Quảng Chu</v>
      </c>
      <c r="D629" s="34"/>
      <c r="E629" s="34" t="s">
        <v>58</v>
      </c>
      <c r="F629" s="31" t="s">
        <v>710</v>
      </c>
      <c r="G629" s="34"/>
      <c r="H629" s="34" t="str">
        <f>IF(LEFT('PL1(Full)'!$F629,4)="Thôn","Thôn","Tổ")</f>
        <v>Thôn</v>
      </c>
      <c r="I629" s="35">
        <v>106</v>
      </c>
      <c r="J629" s="36">
        <v>445</v>
      </c>
      <c r="K629" s="36">
        <v>38</v>
      </c>
      <c r="L629" s="37">
        <f t="shared" si="0"/>
        <v>35.849056603773583</v>
      </c>
      <c r="M629" s="36">
        <v>11</v>
      </c>
      <c r="N629" s="38">
        <f t="shared" si="1"/>
        <v>10.377358490566039</v>
      </c>
      <c r="O629" s="36">
        <v>0</v>
      </c>
      <c r="P629" s="38">
        <f t="shared" si="2"/>
        <v>0</v>
      </c>
      <c r="Q629" s="39" t="s">
        <v>82</v>
      </c>
      <c r="R629" s="39" t="str">
        <f t="shared" si="3"/>
        <v>X</v>
      </c>
      <c r="S629" s="34" t="s">
        <v>60</v>
      </c>
      <c r="T629" s="34" t="str">
        <f>IF('PL1(Full)'!$N629&gt;=20,"x",IF(AND('PL1(Full)'!$N629&gt;=15,'PL1(Full)'!$P629&gt;60),"x",""))</f>
        <v/>
      </c>
      <c r="U629" s="34" t="str">
        <f>IF(AND('PL1(Full)'!$H629="Thôn",'PL1(Full)'!$I629&lt;75),"x",IF(AND('PL1(Full)'!$H629="Tổ",'PL1(Full)'!$I629&lt;100),"x","-"))</f>
        <v>-</v>
      </c>
      <c r="V629" s="34" t="str">
        <f>IF(AND('PL1(Full)'!$H629="Thôn",'PL1(Full)'!$I629&lt;140),"x",IF(AND('PL1(Full)'!$H629="Tổ",'PL1(Full)'!$I629&lt;210),"x","-"))</f>
        <v>x</v>
      </c>
      <c r="W629" s="40" t="str">
        <f t="shared" si="114"/>
        <v>Loại 2</v>
      </c>
      <c r="X629" s="34"/>
    </row>
    <row r="630" spans="1:24" ht="15.75" hidden="1" customHeight="1">
      <c r="A630" s="30">
        <f>_xlfn.AGGREGATE(4,7,A$6:A629)+1</f>
        <v>440</v>
      </c>
      <c r="B630" s="31" t="str">
        <f t="shared" si="113"/>
        <v>H. Chợ Mới</v>
      </c>
      <c r="C630" s="31" t="str">
        <f t="shared" si="121"/>
        <v>X. Quảng Chu</v>
      </c>
      <c r="D630" s="34"/>
      <c r="E630" s="34" t="s">
        <v>58</v>
      </c>
      <c r="F630" s="31" t="s">
        <v>711</v>
      </c>
      <c r="G630" s="34"/>
      <c r="H630" s="34" t="str">
        <f>IF(LEFT('PL1(Full)'!$F630,4)="Thôn","Thôn","Tổ")</f>
        <v>Thôn</v>
      </c>
      <c r="I630" s="35">
        <v>100</v>
      </c>
      <c r="J630" s="36">
        <v>392</v>
      </c>
      <c r="K630" s="36">
        <v>44</v>
      </c>
      <c r="L630" s="37">
        <f t="shared" si="0"/>
        <v>44</v>
      </c>
      <c r="M630" s="36">
        <v>10</v>
      </c>
      <c r="N630" s="38">
        <f t="shared" si="1"/>
        <v>10</v>
      </c>
      <c r="O630" s="36">
        <v>0</v>
      </c>
      <c r="P630" s="38">
        <f t="shared" si="2"/>
        <v>0</v>
      </c>
      <c r="Q630" s="39" t="s">
        <v>82</v>
      </c>
      <c r="R630" s="39" t="str">
        <f t="shared" si="3"/>
        <v>X</v>
      </c>
      <c r="S630" s="34" t="s">
        <v>60</v>
      </c>
      <c r="T630" s="34" t="str">
        <f>IF('PL1(Full)'!$N630&gt;=20,"x",IF(AND('PL1(Full)'!$N630&gt;=15,'PL1(Full)'!$P630&gt;60),"x",""))</f>
        <v/>
      </c>
      <c r="U630" s="34" t="str">
        <f>IF(AND('PL1(Full)'!$H630="Thôn",'PL1(Full)'!$I630&lt;75),"x",IF(AND('PL1(Full)'!$H630="Tổ",'PL1(Full)'!$I630&lt;100),"x","-"))</f>
        <v>-</v>
      </c>
      <c r="V630" s="34" t="str">
        <f>IF(AND('PL1(Full)'!$H630="Thôn",'PL1(Full)'!$I630&lt;140),"x",IF(AND('PL1(Full)'!$H630="Tổ",'PL1(Full)'!$I630&lt;210),"x","-"))</f>
        <v>x</v>
      </c>
      <c r="W630" s="40" t="str">
        <f t="shared" si="114"/>
        <v>Loại 2</v>
      </c>
      <c r="X630" s="34"/>
    </row>
    <row r="631" spans="1:24" ht="15.75" hidden="1" customHeight="1">
      <c r="A631" s="30">
        <f>_xlfn.AGGREGATE(4,7,A$6:A630)+1</f>
        <v>440</v>
      </c>
      <c r="B631" s="31" t="str">
        <f t="shared" si="113"/>
        <v>H. Chợ Mới</v>
      </c>
      <c r="C631" s="31" t="str">
        <f t="shared" si="121"/>
        <v>X. Quảng Chu</v>
      </c>
      <c r="D631" s="34"/>
      <c r="E631" s="34" t="s">
        <v>58</v>
      </c>
      <c r="F631" s="31" t="s">
        <v>712</v>
      </c>
      <c r="G631" s="34"/>
      <c r="H631" s="34" t="str">
        <f>IF(LEFT('PL1(Full)'!$F631,4)="Thôn","Thôn","Tổ")</f>
        <v>Thôn</v>
      </c>
      <c r="I631" s="35">
        <v>116</v>
      </c>
      <c r="J631" s="36">
        <v>580</v>
      </c>
      <c r="K631" s="36">
        <v>97</v>
      </c>
      <c r="L631" s="37">
        <f t="shared" si="0"/>
        <v>83.620689655172413</v>
      </c>
      <c r="M631" s="36">
        <v>18</v>
      </c>
      <c r="N631" s="38">
        <f t="shared" si="1"/>
        <v>15.517241379310345</v>
      </c>
      <c r="O631" s="36">
        <v>18</v>
      </c>
      <c r="P631" s="38">
        <f t="shared" si="2"/>
        <v>100</v>
      </c>
      <c r="Q631" s="39" t="s">
        <v>49</v>
      </c>
      <c r="R631" s="39" t="str">
        <f t="shared" si="3"/>
        <v>X</v>
      </c>
      <c r="S631" s="34" t="s">
        <v>60</v>
      </c>
      <c r="T631" s="34" t="str">
        <f>IF('PL1(Full)'!$N631&gt;=20,"x",IF(AND('PL1(Full)'!$N631&gt;=15,'PL1(Full)'!$P631&gt;60),"x",""))</f>
        <v>x</v>
      </c>
      <c r="U631" s="34" t="str">
        <f>IF(AND('PL1(Full)'!$H631="Thôn",'PL1(Full)'!$I631&lt;75),"x",IF(AND('PL1(Full)'!$H631="Tổ",'PL1(Full)'!$I631&lt;100),"x","-"))</f>
        <v>-</v>
      </c>
      <c r="V631" s="34" t="str">
        <f>IF(AND('PL1(Full)'!$H631="Thôn",'PL1(Full)'!$I631&lt;140),"x",IF(AND('PL1(Full)'!$H631="Tổ",'PL1(Full)'!$I631&lt;210),"x","-"))</f>
        <v>x</v>
      </c>
      <c r="W631" s="40" t="str">
        <f t="shared" si="114"/>
        <v>Loại 2</v>
      </c>
      <c r="X631" s="34"/>
    </row>
    <row r="632" spans="1:24" ht="15.75" hidden="1" customHeight="1">
      <c r="A632" s="30">
        <f>_xlfn.AGGREGATE(4,7,A$6:A631)+1</f>
        <v>440</v>
      </c>
      <c r="B632" s="31" t="str">
        <f t="shared" si="113"/>
        <v>H. Chợ Mới</v>
      </c>
      <c r="C632" s="31" t="str">
        <f t="shared" si="121"/>
        <v>X. Quảng Chu</v>
      </c>
      <c r="D632" s="34"/>
      <c r="E632" s="34" t="s">
        <v>58</v>
      </c>
      <c r="F632" s="31" t="s">
        <v>713</v>
      </c>
      <c r="G632" s="34"/>
      <c r="H632" s="34" t="str">
        <f>IF(LEFT('PL1(Full)'!$F632,4)="Thôn","Thôn","Tổ")</f>
        <v>Thôn</v>
      </c>
      <c r="I632" s="35">
        <v>119</v>
      </c>
      <c r="J632" s="36">
        <v>472</v>
      </c>
      <c r="K632" s="36">
        <v>43</v>
      </c>
      <c r="L632" s="37">
        <f t="shared" si="0"/>
        <v>36.134453781512605</v>
      </c>
      <c r="M632" s="36">
        <v>30</v>
      </c>
      <c r="N632" s="38">
        <f t="shared" si="1"/>
        <v>25.210084033613445</v>
      </c>
      <c r="O632" s="36">
        <v>10</v>
      </c>
      <c r="P632" s="38">
        <f t="shared" si="2"/>
        <v>33.333333333333336</v>
      </c>
      <c r="Q632" s="39" t="s">
        <v>49</v>
      </c>
      <c r="R632" s="39" t="str">
        <f t="shared" si="3"/>
        <v>X</v>
      </c>
      <c r="S632" s="34" t="s">
        <v>60</v>
      </c>
      <c r="T632" s="34" t="str">
        <f>IF('PL1(Full)'!$N632&gt;=20,"x",IF(AND('PL1(Full)'!$N632&gt;=15,'PL1(Full)'!$P632&gt;60),"x",""))</f>
        <v>x</v>
      </c>
      <c r="U632" s="34" t="str">
        <f>IF(AND('PL1(Full)'!$H632="Thôn",'PL1(Full)'!$I632&lt;75),"x",IF(AND('PL1(Full)'!$H632="Tổ",'PL1(Full)'!$I632&lt;100),"x","-"))</f>
        <v>-</v>
      </c>
      <c r="V632" s="34" t="str">
        <f>IF(AND('PL1(Full)'!$H632="Thôn",'PL1(Full)'!$I632&lt;140),"x",IF(AND('PL1(Full)'!$H632="Tổ",'PL1(Full)'!$I632&lt;210),"x","-"))</f>
        <v>x</v>
      </c>
      <c r="W632" s="40" t="str">
        <f t="shared" si="114"/>
        <v>Loại 2</v>
      </c>
      <c r="X632" s="34"/>
    </row>
    <row r="633" spans="1:24" ht="15.75" hidden="1" customHeight="1">
      <c r="A633" s="30">
        <f>_xlfn.AGGREGATE(4,7,A$6:A632)+1</f>
        <v>440</v>
      </c>
      <c r="B633" s="31" t="str">
        <f t="shared" si="113"/>
        <v>H. Chợ Mới</v>
      </c>
      <c r="C633" s="31" t="str">
        <f t="shared" si="121"/>
        <v>X. Quảng Chu</v>
      </c>
      <c r="D633" s="34"/>
      <c r="E633" s="34" t="s">
        <v>58</v>
      </c>
      <c r="F633" s="31" t="s">
        <v>714</v>
      </c>
      <c r="G633" s="34"/>
      <c r="H633" s="34" t="str">
        <f>IF(LEFT('PL1(Full)'!$F633,4)="Thôn","Thôn","Tổ")</f>
        <v>Thôn</v>
      </c>
      <c r="I633" s="35">
        <v>115</v>
      </c>
      <c r="J633" s="36">
        <v>508</v>
      </c>
      <c r="K633" s="36">
        <v>76</v>
      </c>
      <c r="L633" s="37">
        <f t="shared" si="0"/>
        <v>66.086956521739125</v>
      </c>
      <c r="M633" s="36">
        <v>15</v>
      </c>
      <c r="N633" s="38">
        <f t="shared" si="1"/>
        <v>13.043478260869565</v>
      </c>
      <c r="O633" s="36">
        <v>6</v>
      </c>
      <c r="P633" s="38">
        <f t="shared" si="2"/>
        <v>40</v>
      </c>
      <c r="Q633" s="39" t="s">
        <v>158</v>
      </c>
      <c r="R633" s="39" t="str">
        <f t="shared" si="3"/>
        <v>X</v>
      </c>
      <c r="S633" s="34" t="s">
        <v>60</v>
      </c>
      <c r="T633" s="34" t="str">
        <f>IF('PL1(Full)'!$N633&gt;=20,"x",IF(AND('PL1(Full)'!$N633&gt;=15,'PL1(Full)'!$P633&gt;60),"x",""))</f>
        <v/>
      </c>
      <c r="U633" s="34" t="str">
        <f>IF(AND('PL1(Full)'!$H633="Thôn",'PL1(Full)'!$I633&lt;75),"x",IF(AND('PL1(Full)'!$H633="Tổ",'PL1(Full)'!$I633&lt;100),"x","-"))</f>
        <v>-</v>
      </c>
      <c r="V633" s="34" t="str">
        <f>IF(AND('PL1(Full)'!$H633="Thôn",'PL1(Full)'!$I633&lt;140),"x",IF(AND('PL1(Full)'!$H633="Tổ",'PL1(Full)'!$I633&lt;210),"x","-"))</f>
        <v>x</v>
      </c>
      <c r="W633" s="40" t="str">
        <f t="shared" si="114"/>
        <v>Loại 2</v>
      </c>
      <c r="X633" s="34"/>
    </row>
    <row r="634" spans="1:24" ht="15.75" customHeight="1">
      <c r="A634" s="30">
        <f>_xlfn.AGGREGATE(4,7,A$6:A633)+1</f>
        <v>440</v>
      </c>
      <c r="B634" s="31" t="str">
        <f t="shared" si="113"/>
        <v>H. Chợ Mới</v>
      </c>
      <c r="C634" s="31" t="str">
        <f t="shared" si="121"/>
        <v>X. Quảng Chu</v>
      </c>
      <c r="D634" s="34"/>
      <c r="E634" s="34" t="s">
        <v>58</v>
      </c>
      <c r="F634" s="31" t="s">
        <v>715</v>
      </c>
      <c r="G634" s="34"/>
      <c r="H634" s="34" t="str">
        <f>IF(LEFT('PL1(Full)'!$F634,4)="Thôn","Thôn","Tổ")</f>
        <v>Thôn</v>
      </c>
      <c r="I634" s="35">
        <v>31</v>
      </c>
      <c r="J634" s="36">
        <v>134</v>
      </c>
      <c r="K634" s="36">
        <v>8</v>
      </c>
      <c r="L634" s="37">
        <f t="shared" si="0"/>
        <v>25.806451612903224</v>
      </c>
      <c r="M634" s="36">
        <v>2</v>
      </c>
      <c r="N634" s="38">
        <f t="shared" si="1"/>
        <v>6.4516129032258061</v>
      </c>
      <c r="O634" s="36">
        <v>0</v>
      </c>
      <c r="P634" s="38">
        <f t="shared" si="2"/>
        <v>0</v>
      </c>
      <c r="Q634" s="39" t="s">
        <v>63</v>
      </c>
      <c r="R634" s="39" t="str">
        <f t="shared" si="3"/>
        <v>X</v>
      </c>
      <c r="S634" s="34"/>
      <c r="T634" s="34" t="str">
        <f>IF('PL1(Full)'!$N634&gt;=20,"x",IF(AND('PL1(Full)'!$N634&gt;=15,'PL1(Full)'!$P634&gt;60),"x",""))</f>
        <v/>
      </c>
      <c r="U634" s="34" t="str">
        <f>IF(AND('PL1(Full)'!$H634="Thôn",'PL1(Full)'!$I634&lt;75),"x",IF(AND('PL1(Full)'!$H634="Tổ",'PL1(Full)'!$I634&lt;100),"x","-"))</f>
        <v>x</v>
      </c>
      <c r="V634" s="34" t="str">
        <f>IF(AND('PL1(Full)'!$H634="Thôn",'PL1(Full)'!$I634&lt;140),"x",IF(AND('PL1(Full)'!$H634="Tổ",'PL1(Full)'!$I634&lt;210),"x","-"))</f>
        <v>x</v>
      </c>
      <c r="W634" s="40" t="str">
        <f t="shared" si="114"/>
        <v>Loại 3</v>
      </c>
      <c r="X634" s="34"/>
    </row>
    <row r="635" spans="1:24" ht="15.75" customHeight="1">
      <c r="A635" s="41">
        <f>_xlfn.AGGREGATE(4,7,A$6:A634)+1</f>
        <v>441</v>
      </c>
      <c r="B635" s="42" t="str">
        <f t="shared" si="113"/>
        <v>H. Chợ Mới</v>
      </c>
      <c r="C635" s="42" t="str">
        <f t="shared" si="121"/>
        <v>X. Quảng Chu</v>
      </c>
      <c r="D635" s="50"/>
      <c r="E635" s="50" t="s">
        <v>58</v>
      </c>
      <c r="F635" s="42" t="s">
        <v>716</v>
      </c>
      <c r="G635" s="50"/>
      <c r="H635" s="50" t="str">
        <f>IF(LEFT('PL1(Full)'!$F635,4)="Thôn","Thôn","Tổ")</f>
        <v>Thôn</v>
      </c>
      <c r="I635" s="45">
        <v>60</v>
      </c>
      <c r="J635" s="46">
        <v>228</v>
      </c>
      <c r="K635" s="46">
        <v>44</v>
      </c>
      <c r="L635" s="47">
        <f t="shared" si="0"/>
        <v>73.333333333333329</v>
      </c>
      <c r="M635" s="46">
        <v>9</v>
      </c>
      <c r="N635" s="48">
        <f t="shared" si="1"/>
        <v>15</v>
      </c>
      <c r="O635" s="46">
        <v>5</v>
      </c>
      <c r="P635" s="48">
        <f t="shared" si="2"/>
        <v>55.555555555555557</v>
      </c>
      <c r="Q635" s="49" t="s">
        <v>82</v>
      </c>
      <c r="R635" s="49" t="str">
        <f t="shared" si="3"/>
        <v>X</v>
      </c>
      <c r="S635" s="50" t="s">
        <v>60</v>
      </c>
      <c r="T635" s="50" t="str">
        <f>IF('PL1(Full)'!$N635&gt;=20,"x",IF(AND('PL1(Full)'!$N635&gt;=15,'PL1(Full)'!$P635&gt;60),"x",""))</f>
        <v/>
      </c>
      <c r="U635" s="50" t="str">
        <f>IF(AND('PL1(Full)'!$H635="Thôn",'PL1(Full)'!$I635&lt;75),"x",IF(AND('PL1(Full)'!$H635="Tổ",'PL1(Full)'!$I635&lt;100),"x","-"))</f>
        <v>x</v>
      </c>
      <c r="V635" s="34" t="str">
        <f>IF(AND('PL1(Full)'!$H635="Thôn",'PL1(Full)'!$I635&lt;140),"x",IF(AND('PL1(Full)'!$H635="Tổ",'PL1(Full)'!$I635&lt;210),"x","-"))</f>
        <v>x</v>
      </c>
      <c r="W635" s="51" t="str">
        <f t="shared" si="114"/>
        <v>Loại 3</v>
      </c>
      <c r="X635" s="50"/>
    </row>
    <row r="636" spans="1:24" ht="15.75" hidden="1" customHeight="1">
      <c r="A636" s="52">
        <f>_xlfn.AGGREGATE(4,7,A$6:A635)+1</f>
        <v>442</v>
      </c>
      <c r="B636" s="14" t="str">
        <f t="shared" si="113"/>
        <v>H. Chợ Mới</v>
      </c>
      <c r="C636" s="14" t="s">
        <v>717</v>
      </c>
      <c r="D636" s="25" t="s">
        <v>58</v>
      </c>
      <c r="E636" s="25" t="s">
        <v>58</v>
      </c>
      <c r="F636" s="14" t="s">
        <v>718</v>
      </c>
      <c r="G636" s="25"/>
      <c r="H636" s="25" t="str">
        <f>IF(LEFT('PL1(Full)'!$F636,4)="Thôn","Thôn","Tổ")</f>
        <v>Thôn</v>
      </c>
      <c r="I636" s="20">
        <v>88</v>
      </c>
      <c r="J636" s="20">
        <v>367</v>
      </c>
      <c r="K636" s="20">
        <v>88</v>
      </c>
      <c r="L636" s="21">
        <f t="shared" si="0"/>
        <v>100</v>
      </c>
      <c r="M636" s="20">
        <v>56</v>
      </c>
      <c r="N636" s="22">
        <f t="shared" si="1"/>
        <v>63.636363636363633</v>
      </c>
      <c r="O636" s="20">
        <v>56</v>
      </c>
      <c r="P636" s="22">
        <f t="shared" si="2"/>
        <v>100</v>
      </c>
      <c r="Q636" s="109" t="s">
        <v>117</v>
      </c>
      <c r="R636" s="109" t="str">
        <f t="shared" si="3"/>
        <v>T</v>
      </c>
      <c r="S636" s="110" t="s">
        <v>60</v>
      </c>
      <c r="T636" s="26" t="str">
        <f>IF('PL1(Full)'!$N636&gt;=20,"x",IF(AND('PL1(Full)'!$N636&gt;=15,'PL1(Full)'!$P636&gt;60),"x",""))</f>
        <v>x</v>
      </c>
      <c r="U636" s="27" t="str">
        <f>IF(AND('PL1(Full)'!$H636="Thôn",'PL1(Full)'!$I636&lt;75),"x",IF(AND('PL1(Full)'!$H636="Tổ",'PL1(Full)'!$I636&lt;100),"x","-"))</f>
        <v>-</v>
      </c>
      <c r="V636" s="28" t="str">
        <f>IF(AND('PL1(Full)'!$H636="Thôn",'PL1(Full)'!$I636&lt;140),"x",IF(AND('PL1(Full)'!$H636="Tổ",'PL1(Full)'!$I636&lt;210),"x","-"))</f>
        <v>x</v>
      </c>
      <c r="W636" s="29" t="str">
        <f t="shared" si="114"/>
        <v>Loại 3</v>
      </c>
      <c r="X636" s="25"/>
    </row>
    <row r="637" spans="1:24" ht="15.75" hidden="1" customHeight="1">
      <c r="A637" s="30">
        <f>_xlfn.AGGREGATE(4,7,A$6:A636)+1</f>
        <v>442</v>
      </c>
      <c r="B637" s="31" t="str">
        <f t="shared" si="113"/>
        <v>H. Chợ Mới</v>
      </c>
      <c r="C637" s="31" t="str">
        <f t="shared" ref="C637:C641" si="122">C636</f>
        <v>X. Tân Sơn</v>
      </c>
      <c r="D637" s="34"/>
      <c r="E637" s="34" t="s">
        <v>58</v>
      </c>
      <c r="F637" s="31" t="s">
        <v>719</v>
      </c>
      <c r="G637" s="34"/>
      <c r="H637" s="34" t="str">
        <f>IF(LEFT('PL1(Full)'!$F637,4)="Thôn","Thôn","Tổ")</f>
        <v>Thôn</v>
      </c>
      <c r="I637" s="36">
        <v>76</v>
      </c>
      <c r="J637" s="36">
        <v>344</v>
      </c>
      <c r="K637" s="36">
        <v>76</v>
      </c>
      <c r="L637" s="37">
        <f t="shared" si="0"/>
        <v>100</v>
      </c>
      <c r="M637" s="36">
        <v>25</v>
      </c>
      <c r="N637" s="38">
        <f t="shared" si="1"/>
        <v>32.89473684210526</v>
      </c>
      <c r="O637" s="36">
        <v>25</v>
      </c>
      <c r="P637" s="38">
        <f t="shared" si="2"/>
        <v>100</v>
      </c>
      <c r="Q637" s="111" t="s">
        <v>63</v>
      </c>
      <c r="R637" s="111" t="str">
        <f t="shared" si="3"/>
        <v>X</v>
      </c>
      <c r="S637" s="112" t="s">
        <v>60</v>
      </c>
      <c r="T637" s="34" t="str">
        <f>IF('PL1(Full)'!$N637&gt;=20,"x",IF(AND('PL1(Full)'!$N637&gt;=15,'PL1(Full)'!$P637&gt;60),"x",""))</f>
        <v>x</v>
      </c>
      <c r="U637" s="34" t="str">
        <f>IF(AND('PL1(Full)'!$H637="Thôn",'PL1(Full)'!$I637&lt;75),"x",IF(AND('PL1(Full)'!$H637="Tổ",'PL1(Full)'!$I637&lt;100),"x","-"))</f>
        <v>-</v>
      </c>
      <c r="V637" s="34" t="str">
        <f>IF(AND('PL1(Full)'!$H637="Thôn",'PL1(Full)'!$I637&lt;140),"x",IF(AND('PL1(Full)'!$H637="Tổ",'PL1(Full)'!$I637&lt;210),"x","-"))</f>
        <v>x</v>
      </c>
      <c r="W637" s="40" t="str">
        <f t="shared" si="114"/>
        <v>Loại 3</v>
      </c>
      <c r="X637" s="34"/>
    </row>
    <row r="638" spans="1:24" ht="15.75" hidden="1" customHeight="1">
      <c r="A638" s="30">
        <f>_xlfn.AGGREGATE(4,7,A$6:A637)+1</f>
        <v>442</v>
      </c>
      <c r="B638" s="31" t="str">
        <f t="shared" si="113"/>
        <v>H. Chợ Mới</v>
      </c>
      <c r="C638" s="31" t="str">
        <f t="shared" si="122"/>
        <v>X. Tân Sơn</v>
      </c>
      <c r="D638" s="34"/>
      <c r="E638" s="34" t="s">
        <v>58</v>
      </c>
      <c r="F638" s="31" t="s">
        <v>720</v>
      </c>
      <c r="G638" s="34"/>
      <c r="H638" s="34" t="str">
        <f>IF(LEFT('PL1(Full)'!$F638,4)="Thôn","Thôn","Tổ")</f>
        <v>Thôn</v>
      </c>
      <c r="I638" s="36">
        <v>92</v>
      </c>
      <c r="J638" s="36">
        <v>374</v>
      </c>
      <c r="K638" s="36">
        <v>92</v>
      </c>
      <c r="L638" s="37">
        <f t="shared" si="0"/>
        <v>100</v>
      </c>
      <c r="M638" s="36">
        <v>35</v>
      </c>
      <c r="N638" s="38">
        <f t="shared" si="1"/>
        <v>38.043478260869563</v>
      </c>
      <c r="O638" s="36">
        <v>35</v>
      </c>
      <c r="P638" s="38">
        <f t="shared" si="2"/>
        <v>100</v>
      </c>
      <c r="Q638" s="111" t="s">
        <v>63</v>
      </c>
      <c r="R638" s="111" t="str">
        <f t="shared" si="3"/>
        <v>X</v>
      </c>
      <c r="S638" s="112" t="s">
        <v>60</v>
      </c>
      <c r="T638" s="34" t="str">
        <f>IF('PL1(Full)'!$N638&gt;=20,"x",IF(AND('PL1(Full)'!$N638&gt;=15,'PL1(Full)'!$P638&gt;60),"x",""))</f>
        <v>x</v>
      </c>
      <c r="U638" s="34" t="str">
        <f>IF(AND('PL1(Full)'!$H638="Thôn",'PL1(Full)'!$I638&lt;75),"x",IF(AND('PL1(Full)'!$H638="Tổ",'PL1(Full)'!$I638&lt;100),"x","-"))</f>
        <v>-</v>
      </c>
      <c r="V638" s="34" t="str">
        <f>IF(AND('PL1(Full)'!$H638="Thôn",'PL1(Full)'!$I638&lt;140),"x",IF(AND('PL1(Full)'!$H638="Tổ",'PL1(Full)'!$I638&lt;210),"x","-"))</f>
        <v>x</v>
      </c>
      <c r="W638" s="40" t="str">
        <f t="shared" si="114"/>
        <v>Loại 3</v>
      </c>
      <c r="X638" s="34"/>
    </row>
    <row r="639" spans="1:24" ht="15.75" customHeight="1">
      <c r="A639" s="30">
        <f>_xlfn.AGGREGATE(4,7,A$6:A638)+1</f>
        <v>442</v>
      </c>
      <c r="B639" s="31" t="str">
        <f t="shared" si="113"/>
        <v>H. Chợ Mới</v>
      </c>
      <c r="C639" s="31" t="str">
        <f t="shared" si="122"/>
        <v>X. Tân Sơn</v>
      </c>
      <c r="D639" s="34"/>
      <c r="E639" s="34" t="s">
        <v>58</v>
      </c>
      <c r="F639" s="31" t="s">
        <v>721</v>
      </c>
      <c r="G639" s="34"/>
      <c r="H639" s="34" t="str">
        <f>IF(LEFT('PL1(Full)'!$F639,4)="Thôn","Thôn","Tổ")</f>
        <v>Thôn</v>
      </c>
      <c r="I639" s="36">
        <v>40</v>
      </c>
      <c r="J639" s="36">
        <v>173</v>
      </c>
      <c r="K639" s="36">
        <v>40</v>
      </c>
      <c r="L639" s="37">
        <f t="shared" si="0"/>
        <v>100</v>
      </c>
      <c r="M639" s="36">
        <v>25</v>
      </c>
      <c r="N639" s="38">
        <f t="shared" si="1"/>
        <v>62.5</v>
      </c>
      <c r="O639" s="36">
        <v>25</v>
      </c>
      <c r="P639" s="38">
        <f t="shared" si="2"/>
        <v>100</v>
      </c>
      <c r="Q639" s="111" t="s">
        <v>56</v>
      </c>
      <c r="R639" s="111" t="str">
        <f t="shared" si="3"/>
        <v>X</v>
      </c>
      <c r="S639" s="112" t="s">
        <v>60</v>
      </c>
      <c r="T639" s="34" t="str">
        <f>IF('PL1(Full)'!$N639&gt;=20,"x",IF(AND('PL1(Full)'!$N639&gt;=15,'PL1(Full)'!$P639&gt;60),"x",""))</f>
        <v>x</v>
      </c>
      <c r="U639" s="34" t="str">
        <f>IF(AND('PL1(Full)'!$H639="Thôn",'PL1(Full)'!$I639&lt;75),"x",IF(AND('PL1(Full)'!$H639="Tổ",'PL1(Full)'!$I639&lt;100),"x","-"))</f>
        <v>x</v>
      </c>
      <c r="V639" s="34" t="str">
        <f>IF(AND('PL1(Full)'!$H639="Thôn",'PL1(Full)'!$I639&lt;140),"x",IF(AND('PL1(Full)'!$H639="Tổ",'PL1(Full)'!$I639&lt;210),"x","-"))</f>
        <v>x</v>
      </c>
      <c r="W639" s="40" t="str">
        <f t="shared" si="114"/>
        <v>Loại 3</v>
      </c>
      <c r="X639" s="34"/>
    </row>
    <row r="640" spans="1:24" ht="15.75" hidden="1" customHeight="1">
      <c r="A640" s="30">
        <f>_xlfn.AGGREGATE(4,7,A$6:A639)+1</f>
        <v>443</v>
      </c>
      <c r="B640" s="31" t="str">
        <f t="shared" si="113"/>
        <v>H. Chợ Mới</v>
      </c>
      <c r="C640" s="31" t="str">
        <f t="shared" si="122"/>
        <v>X. Tân Sơn</v>
      </c>
      <c r="D640" s="34"/>
      <c r="E640" s="34" t="s">
        <v>58</v>
      </c>
      <c r="F640" s="31" t="s">
        <v>722</v>
      </c>
      <c r="G640" s="34"/>
      <c r="H640" s="34" t="str">
        <f>IF(LEFT('PL1(Full)'!$F640,4)="Thôn","Thôn","Tổ")</f>
        <v>Thôn</v>
      </c>
      <c r="I640" s="36">
        <v>96</v>
      </c>
      <c r="J640" s="36">
        <v>369</v>
      </c>
      <c r="K640" s="36">
        <v>96</v>
      </c>
      <c r="L640" s="37">
        <f t="shared" si="0"/>
        <v>100</v>
      </c>
      <c r="M640" s="36">
        <v>27</v>
      </c>
      <c r="N640" s="38">
        <f t="shared" si="1"/>
        <v>28.125</v>
      </c>
      <c r="O640" s="36">
        <v>27</v>
      </c>
      <c r="P640" s="38">
        <f t="shared" si="2"/>
        <v>100</v>
      </c>
      <c r="Q640" s="111" t="s">
        <v>49</v>
      </c>
      <c r="R640" s="111" t="str">
        <f t="shared" si="3"/>
        <v>X</v>
      </c>
      <c r="S640" s="112" t="s">
        <v>60</v>
      </c>
      <c r="T640" s="34" t="str">
        <f>IF('PL1(Full)'!$N640&gt;=20,"x",IF(AND('PL1(Full)'!$N640&gt;=15,'PL1(Full)'!$P640&gt;60),"x",""))</f>
        <v>x</v>
      </c>
      <c r="U640" s="34" t="str">
        <f>IF(AND('PL1(Full)'!$H640="Thôn",'PL1(Full)'!$I640&lt;75),"x",IF(AND('PL1(Full)'!$H640="Tổ",'PL1(Full)'!$I640&lt;100),"x","-"))</f>
        <v>-</v>
      </c>
      <c r="V640" s="34" t="str">
        <f>IF(AND('PL1(Full)'!$H640="Thôn",'PL1(Full)'!$I640&lt;140),"x",IF(AND('PL1(Full)'!$H640="Tổ",'PL1(Full)'!$I640&lt;210),"x","-"))</f>
        <v>x</v>
      </c>
      <c r="W640" s="40" t="str">
        <f t="shared" si="114"/>
        <v>Loại 3</v>
      </c>
      <c r="X640" s="34"/>
    </row>
    <row r="641" spans="1:24" ht="15.75" customHeight="1">
      <c r="A641" s="41">
        <f>_xlfn.AGGREGATE(4,7,A$6:A640)+1</f>
        <v>443</v>
      </c>
      <c r="B641" s="42" t="str">
        <f t="shared" si="113"/>
        <v>H. Chợ Mới</v>
      </c>
      <c r="C641" s="42" t="str">
        <f t="shared" si="122"/>
        <v>X. Tân Sơn</v>
      </c>
      <c r="D641" s="50"/>
      <c r="E641" s="50" t="s">
        <v>58</v>
      </c>
      <c r="F641" s="42" t="s">
        <v>723</v>
      </c>
      <c r="G641" s="50"/>
      <c r="H641" s="50" t="str">
        <f>IF(LEFT('PL1(Full)'!$F641,4)="Thôn","Thôn","Tổ")</f>
        <v>Thôn</v>
      </c>
      <c r="I641" s="46">
        <v>21</v>
      </c>
      <c r="J641" s="46">
        <v>88</v>
      </c>
      <c r="K641" s="46">
        <v>21</v>
      </c>
      <c r="L641" s="47">
        <f t="shared" si="0"/>
        <v>100</v>
      </c>
      <c r="M641" s="46">
        <v>21</v>
      </c>
      <c r="N641" s="48">
        <f t="shared" si="1"/>
        <v>100</v>
      </c>
      <c r="O641" s="46">
        <v>21</v>
      </c>
      <c r="P641" s="48">
        <f t="shared" si="2"/>
        <v>100</v>
      </c>
      <c r="Q641" s="113" t="s">
        <v>63</v>
      </c>
      <c r="R641" s="113" t="str">
        <f t="shared" si="3"/>
        <v>X</v>
      </c>
      <c r="S641" s="114" t="s">
        <v>60</v>
      </c>
      <c r="T641" s="50" t="str">
        <f>IF('PL1(Full)'!$N641&gt;=20,"x",IF(AND('PL1(Full)'!$N641&gt;=15,'PL1(Full)'!$P641&gt;60),"x",""))</f>
        <v>x</v>
      </c>
      <c r="U641" s="50" t="str">
        <f>IF(AND('PL1(Full)'!$H641="Thôn",'PL1(Full)'!$I641&lt;75),"x",IF(AND('PL1(Full)'!$H641="Tổ",'PL1(Full)'!$I641&lt;100),"x","-"))</f>
        <v>x</v>
      </c>
      <c r="V641" s="34" t="str">
        <f>IF(AND('PL1(Full)'!$H641="Thôn",'PL1(Full)'!$I641&lt;140),"x",IF(AND('PL1(Full)'!$H641="Tổ",'PL1(Full)'!$I641&lt;210),"x","-"))</f>
        <v>x</v>
      </c>
      <c r="W641" s="51" t="str">
        <f t="shared" si="114"/>
        <v>Loại 3</v>
      </c>
      <c r="X641" s="50"/>
    </row>
    <row r="642" spans="1:24" ht="15.75" customHeight="1">
      <c r="A642" s="52">
        <f>_xlfn.AGGREGATE(4,7,A$6:A641)+1</f>
        <v>444</v>
      </c>
      <c r="B642" s="14" t="str">
        <f t="shared" si="113"/>
        <v>H. Chợ Mới</v>
      </c>
      <c r="C642" s="14" t="s">
        <v>724</v>
      </c>
      <c r="D642" s="25" t="s">
        <v>58</v>
      </c>
      <c r="E642" s="25" t="s">
        <v>58</v>
      </c>
      <c r="F642" s="14" t="s">
        <v>725</v>
      </c>
      <c r="G642" s="25"/>
      <c r="H642" s="25" t="str">
        <f>IF(LEFT('PL1(Full)'!$F642,4)="Thôn","Thôn","Tổ")</f>
        <v>Thôn</v>
      </c>
      <c r="I642" s="20">
        <v>64</v>
      </c>
      <c r="J642" s="20">
        <v>260</v>
      </c>
      <c r="K642" s="20">
        <v>60</v>
      </c>
      <c r="L642" s="21">
        <f t="shared" si="0"/>
        <v>93.75</v>
      </c>
      <c r="M642" s="20">
        <v>13</v>
      </c>
      <c r="N642" s="22">
        <f t="shared" si="1"/>
        <v>20.3125</v>
      </c>
      <c r="O642" s="20">
        <v>13</v>
      </c>
      <c r="P642" s="22">
        <f t="shared" si="2"/>
        <v>100</v>
      </c>
      <c r="Q642" s="23" t="s">
        <v>63</v>
      </c>
      <c r="R642" s="24" t="str">
        <f t="shared" si="3"/>
        <v>X</v>
      </c>
      <c r="S642" s="25"/>
      <c r="T642" s="26" t="str">
        <f>IF('PL1(Full)'!$N642&gt;=20,"x",IF(AND('PL1(Full)'!$N642&gt;=15,'PL1(Full)'!$P642&gt;60),"x",""))</f>
        <v>x</v>
      </c>
      <c r="U642" s="27" t="str">
        <f>IF(AND('PL1(Full)'!$H642="Thôn",'PL1(Full)'!$I642&lt;75),"x",IF(AND('PL1(Full)'!$H642="Tổ",'PL1(Full)'!$I642&lt;100),"x","-"))</f>
        <v>x</v>
      </c>
      <c r="V642" s="28" t="str">
        <f>IF(AND('PL1(Full)'!$H642="Thôn",'PL1(Full)'!$I642&lt;140),"x",IF(AND('PL1(Full)'!$H642="Tổ",'PL1(Full)'!$I642&lt;210),"x","-"))</f>
        <v>x</v>
      </c>
      <c r="W642" s="29" t="str">
        <f t="shared" si="114"/>
        <v>Loại 3</v>
      </c>
      <c r="X642" s="25"/>
    </row>
    <row r="643" spans="1:24" ht="15.75" customHeight="1">
      <c r="A643" s="30">
        <f>_xlfn.AGGREGATE(4,7,A$6:A642)+1</f>
        <v>445</v>
      </c>
      <c r="B643" s="31" t="str">
        <f t="shared" si="113"/>
        <v>H. Chợ Mới</v>
      </c>
      <c r="C643" s="31" t="str">
        <f t="shared" ref="C643:C655" si="123">C642</f>
        <v>X. Thanh Mai</v>
      </c>
      <c r="D643" s="34"/>
      <c r="E643" s="34" t="s">
        <v>58</v>
      </c>
      <c r="F643" s="31" t="s">
        <v>672</v>
      </c>
      <c r="G643" s="34"/>
      <c r="H643" s="34" t="str">
        <f>IF(LEFT('PL1(Full)'!$F643,4)="Thôn","Thôn","Tổ")</f>
        <v>Thôn</v>
      </c>
      <c r="I643" s="36">
        <v>24</v>
      </c>
      <c r="J643" s="36">
        <v>89</v>
      </c>
      <c r="K643" s="36">
        <v>21</v>
      </c>
      <c r="L643" s="37">
        <f t="shared" si="0"/>
        <v>87.5</v>
      </c>
      <c r="M643" s="36">
        <v>13</v>
      </c>
      <c r="N643" s="38">
        <f t="shared" si="1"/>
        <v>54.166666666666664</v>
      </c>
      <c r="O643" s="36">
        <v>11</v>
      </c>
      <c r="P643" s="38">
        <f t="shared" si="2"/>
        <v>84.615384615384613</v>
      </c>
      <c r="Q643" s="39" t="s">
        <v>338</v>
      </c>
      <c r="R643" s="39" t="str">
        <f t="shared" si="3"/>
        <v>X</v>
      </c>
      <c r="S643" s="34" t="s">
        <v>60</v>
      </c>
      <c r="T643" s="34" t="str">
        <f>IF('PL1(Full)'!$N643&gt;=20,"x",IF(AND('PL1(Full)'!$N643&gt;=15,'PL1(Full)'!$P643&gt;60),"x",""))</f>
        <v>x</v>
      </c>
      <c r="U643" s="34" t="str">
        <f>IF(AND('PL1(Full)'!$H643="Thôn",'PL1(Full)'!$I643&lt;75),"x",IF(AND('PL1(Full)'!$H643="Tổ",'PL1(Full)'!$I643&lt;100),"x","-"))</f>
        <v>x</v>
      </c>
      <c r="V643" s="34" t="str">
        <f>IF(AND('PL1(Full)'!$H643="Thôn",'PL1(Full)'!$I643&lt;140),"x",IF(AND('PL1(Full)'!$H643="Tổ",'PL1(Full)'!$I643&lt;210),"x","-"))</f>
        <v>x</v>
      </c>
      <c r="W643" s="40" t="str">
        <f t="shared" si="114"/>
        <v>Loại 3</v>
      </c>
      <c r="X643" s="34"/>
    </row>
    <row r="644" spans="1:24" ht="15.75" customHeight="1">
      <c r="A644" s="30">
        <f>_xlfn.AGGREGATE(4,7,A$6:A643)+1</f>
        <v>446</v>
      </c>
      <c r="B644" s="31" t="str">
        <f t="shared" si="113"/>
        <v>H. Chợ Mới</v>
      </c>
      <c r="C644" s="31" t="str">
        <f t="shared" si="123"/>
        <v>X. Thanh Mai</v>
      </c>
      <c r="D644" s="34"/>
      <c r="E644" s="34" t="s">
        <v>58</v>
      </c>
      <c r="F644" s="31" t="s">
        <v>726</v>
      </c>
      <c r="G644" s="34"/>
      <c r="H644" s="34" t="str">
        <f>IF(LEFT('PL1(Full)'!$F644,4)="Thôn","Thôn","Tổ")</f>
        <v>Thôn</v>
      </c>
      <c r="I644" s="36">
        <v>40</v>
      </c>
      <c r="J644" s="36">
        <v>182</v>
      </c>
      <c r="K644" s="36">
        <v>38</v>
      </c>
      <c r="L644" s="37">
        <f t="shared" si="0"/>
        <v>95</v>
      </c>
      <c r="M644" s="36">
        <v>16</v>
      </c>
      <c r="N644" s="38">
        <f t="shared" si="1"/>
        <v>40</v>
      </c>
      <c r="O644" s="36">
        <v>16</v>
      </c>
      <c r="P644" s="38">
        <f t="shared" si="2"/>
        <v>100</v>
      </c>
      <c r="Q644" s="39" t="s">
        <v>56</v>
      </c>
      <c r="R644" s="39" t="str">
        <f t="shared" si="3"/>
        <v>X</v>
      </c>
      <c r="S644" s="34" t="s">
        <v>60</v>
      </c>
      <c r="T644" s="34" t="str">
        <f>IF('PL1(Full)'!$N644&gt;=20,"x",IF(AND('PL1(Full)'!$N644&gt;=15,'PL1(Full)'!$P644&gt;60),"x",""))</f>
        <v>x</v>
      </c>
      <c r="U644" s="34" t="str">
        <f>IF(AND('PL1(Full)'!$H644="Thôn",'PL1(Full)'!$I644&lt;75),"x",IF(AND('PL1(Full)'!$H644="Tổ",'PL1(Full)'!$I644&lt;100),"x","-"))</f>
        <v>x</v>
      </c>
      <c r="V644" s="34" t="str">
        <f>IF(AND('PL1(Full)'!$H644="Thôn",'PL1(Full)'!$I644&lt;140),"x",IF(AND('PL1(Full)'!$H644="Tổ",'PL1(Full)'!$I644&lt;210),"x","-"))</f>
        <v>x</v>
      </c>
      <c r="W644" s="40" t="str">
        <f t="shared" si="114"/>
        <v>Loại 3</v>
      </c>
      <c r="X644" s="34"/>
    </row>
    <row r="645" spans="1:24" ht="15.75" customHeight="1">
      <c r="A645" s="30">
        <f>_xlfn.AGGREGATE(4,7,A$6:A644)+1</f>
        <v>447</v>
      </c>
      <c r="B645" s="31" t="str">
        <f t="shared" si="113"/>
        <v>H. Chợ Mới</v>
      </c>
      <c r="C645" s="31" t="str">
        <f t="shared" si="123"/>
        <v>X. Thanh Mai</v>
      </c>
      <c r="D645" s="34"/>
      <c r="E645" s="34" t="s">
        <v>58</v>
      </c>
      <c r="F645" s="31" t="s">
        <v>727</v>
      </c>
      <c r="G645" s="34"/>
      <c r="H645" s="34" t="str">
        <f>IF(LEFT('PL1(Full)'!$F645,4)="Thôn","Thôn","Tổ")</f>
        <v>Thôn</v>
      </c>
      <c r="I645" s="36">
        <v>51</v>
      </c>
      <c r="J645" s="36">
        <v>192</v>
      </c>
      <c r="K645" s="36">
        <v>50</v>
      </c>
      <c r="L645" s="37">
        <f t="shared" si="0"/>
        <v>98.039215686274517</v>
      </c>
      <c r="M645" s="36">
        <v>12</v>
      </c>
      <c r="N645" s="38">
        <f t="shared" si="1"/>
        <v>23.529411764705884</v>
      </c>
      <c r="O645" s="36">
        <v>11</v>
      </c>
      <c r="P645" s="38">
        <f t="shared" si="2"/>
        <v>91.666666666666671</v>
      </c>
      <c r="Q645" s="39" t="s">
        <v>63</v>
      </c>
      <c r="R645" s="39" t="str">
        <f t="shared" si="3"/>
        <v>X</v>
      </c>
      <c r="S645" s="34" t="s">
        <v>60</v>
      </c>
      <c r="T645" s="34" t="str">
        <f>IF('PL1(Full)'!$N645&gt;=20,"x",IF(AND('PL1(Full)'!$N645&gt;=15,'PL1(Full)'!$P645&gt;60),"x",""))</f>
        <v>x</v>
      </c>
      <c r="U645" s="34" t="str">
        <f>IF(AND('PL1(Full)'!$H645="Thôn",'PL1(Full)'!$I645&lt;75),"x",IF(AND('PL1(Full)'!$H645="Tổ",'PL1(Full)'!$I645&lt;100),"x","-"))</f>
        <v>x</v>
      </c>
      <c r="V645" s="34" t="str">
        <f>IF(AND('PL1(Full)'!$H645="Thôn",'PL1(Full)'!$I645&lt;140),"x",IF(AND('PL1(Full)'!$H645="Tổ",'PL1(Full)'!$I645&lt;210),"x","-"))</f>
        <v>x</v>
      </c>
      <c r="W645" s="40" t="str">
        <f t="shared" si="114"/>
        <v>Loại 3</v>
      </c>
      <c r="X645" s="34"/>
    </row>
    <row r="646" spans="1:24" ht="15.75" customHeight="1">
      <c r="A646" s="30">
        <f>_xlfn.AGGREGATE(4,7,A$6:A645)+1</f>
        <v>448</v>
      </c>
      <c r="B646" s="31" t="str">
        <f t="shared" si="113"/>
        <v>H. Chợ Mới</v>
      </c>
      <c r="C646" s="31" t="str">
        <f t="shared" si="123"/>
        <v>X. Thanh Mai</v>
      </c>
      <c r="D646" s="34"/>
      <c r="E646" s="34" t="s">
        <v>58</v>
      </c>
      <c r="F646" s="31" t="s">
        <v>728</v>
      </c>
      <c r="G646" s="34"/>
      <c r="H646" s="34" t="str">
        <f>IF(LEFT('PL1(Full)'!$F646,4)="Thôn","Thôn","Tổ")</f>
        <v>Thôn</v>
      </c>
      <c r="I646" s="36">
        <v>43</v>
      </c>
      <c r="J646" s="36">
        <v>166</v>
      </c>
      <c r="K646" s="36">
        <v>33</v>
      </c>
      <c r="L646" s="37">
        <f t="shared" si="0"/>
        <v>76.744186046511629</v>
      </c>
      <c r="M646" s="36">
        <v>8</v>
      </c>
      <c r="N646" s="38">
        <f t="shared" si="1"/>
        <v>18.604651162790699</v>
      </c>
      <c r="O646" s="36">
        <v>3</v>
      </c>
      <c r="P646" s="38">
        <f t="shared" si="2"/>
        <v>37.5</v>
      </c>
      <c r="Q646" s="39" t="s">
        <v>56</v>
      </c>
      <c r="R646" s="39" t="str">
        <f t="shared" si="3"/>
        <v>X</v>
      </c>
      <c r="S646" s="34"/>
      <c r="T646" s="34" t="str">
        <f>IF('PL1(Full)'!$N646&gt;=20,"x",IF(AND('PL1(Full)'!$N646&gt;=15,'PL1(Full)'!$P646&gt;60),"x",""))</f>
        <v/>
      </c>
      <c r="U646" s="34" t="str">
        <f>IF(AND('PL1(Full)'!$H646="Thôn",'PL1(Full)'!$I646&lt;75),"x",IF(AND('PL1(Full)'!$H646="Tổ",'PL1(Full)'!$I646&lt;100),"x","-"))</f>
        <v>x</v>
      </c>
      <c r="V646" s="34" t="str">
        <f>IF(AND('PL1(Full)'!$H646="Thôn",'PL1(Full)'!$I646&lt;140),"x",IF(AND('PL1(Full)'!$H646="Tổ",'PL1(Full)'!$I646&lt;210),"x","-"))</f>
        <v>x</v>
      </c>
      <c r="W646" s="40" t="str">
        <f t="shared" si="114"/>
        <v>Loại 3</v>
      </c>
      <c r="X646" s="34"/>
    </row>
    <row r="647" spans="1:24" ht="15.75" customHeight="1">
      <c r="A647" s="30">
        <f>_xlfn.AGGREGATE(4,7,A$6:A646)+1</f>
        <v>449</v>
      </c>
      <c r="B647" s="31" t="str">
        <f t="shared" si="113"/>
        <v>H. Chợ Mới</v>
      </c>
      <c r="C647" s="31" t="str">
        <f t="shared" si="123"/>
        <v>X. Thanh Mai</v>
      </c>
      <c r="D647" s="34"/>
      <c r="E647" s="34" t="s">
        <v>58</v>
      </c>
      <c r="F647" s="31" t="s">
        <v>729</v>
      </c>
      <c r="G647" s="34"/>
      <c r="H647" s="34" t="str">
        <f>IF(LEFT('PL1(Full)'!$F647,4)="Thôn","Thôn","Tổ")</f>
        <v>Thôn</v>
      </c>
      <c r="I647" s="36">
        <v>43</v>
      </c>
      <c r="J647" s="36">
        <v>174</v>
      </c>
      <c r="K647" s="36">
        <v>42</v>
      </c>
      <c r="L647" s="37">
        <f t="shared" si="0"/>
        <v>97.674418604651166</v>
      </c>
      <c r="M647" s="36">
        <v>26</v>
      </c>
      <c r="N647" s="38">
        <f t="shared" si="1"/>
        <v>60.465116279069768</v>
      </c>
      <c r="O647" s="36">
        <v>25</v>
      </c>
      <c r="P647" s="38">
        <f t="shared" si="2"/>
        <v>96.15384615384616</v>
      </c>
      <c r="Q647" s="39" t="s">
        <v>63</v>
      </c>
      <c r="R647" s="39" t="str">
        <f t="shared" si="3"/>
        <v>X</v>
      </c>
      <c r="S647" s="34" t="s">
        <v>60</v>
      </c>
      <c r="T647" s="34" t="str">
        <f>IF('PL1(Full)'!$N647&gt;=20,"x",IF(AND('PL1(Full)'!$N647&gt;=15,'PL1(Full)'!$P647&gt;60),"x",""))</f>
        <v>x</v>
      </c>
      <c r="U647" s="34" t="str">
        <f>IF(AND('PL1(Full)'!$H647="Thôn",'PL1(Full)'!$I647&lt;75),"x",IF(AND('PL1(Full)'!$H647="Tổ",'PL1(Full)'!$I647&lt;100),"x","-"))</f>
        <v>x</v>
      </c>
      <c r="V647" s="34" t="str">
        <f>IF(AND('PL1(Full)'!$H647="Thôn",'PL1(Full)'!$I647&lt;140),"x",IF(AND('PL1(Full)'!$H647="Tổ",'PL1(Full)'!$I647&lt;210),"x","-"))</f>
        <v>x</v>
      </c>
      <c r="W647" s="40" t="str">
        <f t="shared" si="114"/>
        <v>Loại 3</v>
      </c>
      <c r="X647" s="34"/>
    </row>
    <row r="648" spans="1:24" ht="15.75" customHeight="1">
      <c r="A648" s="30">
        <f>_xlfn.AGGREGATE(4,7,A$6:A647)+1</f>
        <v>450</v>
      </c>
      <c r="B648" s="31" t="str">
        <f t="shared" si="113"/>
        <v>H. Chợ Mới</v>
      </c>
      <c r="C648" s="31" t="str">
        <f t="shared" si="123"/>
        <v>X. Thanh Mai</v>
      </c>
      <c r="D648" s="34"/>
      <c r="E648" s="34" t="s">
        <v>58</v>
      </c>
      <c r="F648" s="31" t="s">
        <v>730</v>
      </c>
      <c r="G648" s="34"/>
      <c r="H648" s="34" t="str">
        <f>IF(LEFT('PL1(Full)'!$F648,4)="Thôn","Thôn","Tổ")</f>
        <v>Thôn</v>
      </c>
      <c r="I648" s="36">
        <v>16</v>
      </c>
      <c r="J648" s="36">
        <v>51</v>
      </c>
      <c r="K648" s="36">
        <v>14</v>
      </c>
      <c r="L648" s="37">
        <f t="shared" si="0"/>
        <v>87.5</v>
      </c>
      <c r="M648" s="36">
        <v>7</v>
      </c>
      <c r="N648" s="38">
        <f t="shared" si="1"/>
        <v>43.75</v>
      </c>
      <c r="O648" s="36">
        <v>7</v>
      </c>
      <c r="P648" s="38">
        <f t="shared" si="2"/>
        <v>100</v>
      </c>
      <c r="Q648" s="39" t="s">
        <v>63</v>
      </c>
      <c r="R648" s="39" t="str">
        <f t="shared" si="3"/>
        <v>X</v>
      </c>
      <c r="S648" s="34" t="s">
        <v>60</v>
      </c>
      <c r="T648" s="34" t="str">
        <f>IF('PL1(Full)'!$N648&gt;=20,"x",IF(AND('PL1(Full)'!$N648&gt;=15,'PL1(Full)'!$P648&gt;60),"x",""))</f>
        <v>x</v>
      </c>
      <c r="U648" s="34" t="str">
        <f>IF(AND('PL1(Full)'!$H648="Thôn",'PL1(Full)'!$I648&lt;75),"x",IF(AND('PL1(Full)'!$H648="Tổ",'PL1(Full)'!$I648&lt;100),"x","-"))</f>
        <v>x</v>
      </c>
      <c r="V648" s="34" t="str">
        <f>IF(AND('PL1(Full)'!$H648="Thôn",'PL1(Full)'!$I648&lt;140),"x",IF(AND('PL1(Full)'!$H648="Tổ",'PL1(Full)'!$I648&lt;210),"x","-"))</f>
        <v>x</v>
      </c>
      <c r="W648" s="40" t="str">
        <f t="shared" si="114"/>
        <v>Loại 3</v>
      </c>
      <c r="X648" s="34"/>
    </row>
    <row r="649" spans="1:24" ht="15.75" customHeight="1">
      <c r="A649" s="30">
        <f>_xlfn.AGGREGATE(4,7,A$6:A648)+1</f>
        <v>451</v>
      </c>
      <c r="B649" s="31" t="str">
        <f t="shared" si="113"/>
        <v>H. Chợ Mới</v>
      </c>
      <c r="C649" s="31" t="str">
        <f t="shared" si="123"/>
        <v>X. Thanh Mai</v>
      </c>
      <c r="D649" s="34"/>
      <c r="E649" s="34" t="s">
        <v>58</v>
      </c>
      <c r="F649" s="31" t="s">
        <v>731</v>
      </c>
      <c r="G649" s="34"/>
      <c r="H649" s="34" t="str">
        <f>IF(LEFT('PL1(Full)'!$F649,4)="Thôn","Thôn","Tổ")</f>
        <v>Thôn</v>
      </c>
      <c r="I649" s="36">
        <v>33</v>
      </c>
      <c r="J649" s="36">
        <v>135</v>
      </c>
      <c r="K649" s="36">
        <v>30</v>
      </c>
      <c r="L649" s="37">
        <f t="shared" si="0"/>
        <v>90.909090909090907</v>
      </c>
      <c r="M649" s="36">
        <v>17</v>
      </c>
      <c r="N649" s="38">
        <f t="shared" si="1"/>
        <v>51.515151515151516</v>
      </c>
      <c r="O649" s="36">
        <v>17</v>
      </c>
      <c r="P649" s="38">
        <f t="shared" si="2"/>
        <v>100</v>
      </c>
      <c r="Q649" s="39" t="s">
        <v>56</v>
      </c>
      <c r="R649" s="39" t="str">
        <f t="shared" si="3"/>
        <v>X</v>
      </c>
      <c r="S649" s="34" t="s">
        <v>60</v>
      </c>
      <c r="T649" s="34" t="str">
        <f>IF('PL1(Full)'!$N649&gt;=20,"x",IF(AND('PL1(Full)'!$N649&gt;=15,'PL1(Full)'!$P649&gt;60),"x",""))</f>
        <v>x</v>
      </c>
      <c r="U649" s="34" t="str">
        <f>IF(AND('PL1(Full)'!$H649="Thôn",'PL1(Full)'!$I649&lt;75),"x",IF(AND('PL1(Full)'!$H649="Tổ",'PL1(Full)'!$I649&lt;100),"x","-"))</f>
        <v>x</v>
      </c>
      <c r="V649" s="34" t="str">
        <f>IF(AND('PL1(Full)'!$H649="Thôn",'PL1(Full)'!$I649&lt;140),"x",IF(AND('PL1(Full)'!$H649="Tổ",'PL1(Full)'!$I649&lt;210),"x","-"))</f>
        <v>x</v>
      </c>
      <c r="W649" s="40" t="str">
        <f t="shared" si="114"/>
        <v>Loại 3</v>
      </c>
      <c r="X649" s="34"/>
    </row>
    <row r="650" spans="1:24" ht="15.75" customHeight="1">
      <c r="A650" s="30">
        <f>_xlfn.AGGREGATE(4,7,A$6:A649)+1</f>
        <v>452</v>
      </c>
      <c r="B650" s="31" t="str">
        <f t="shared" si="113"/>
        <v>H. Chợ Mới</v>
      </c>
      <c r="C650" s="31" t="str">
        <f t="shared" si="123"/>
        <v>X. Thanh Mai</v>
      </c>
      <c r="D650" s="34"/>
      <c r="E650" s="34" t="s">
        <v>58</v>
      </c>
      <c r="F650" s="31" t="s">
        <v>257</v>
      </c>
      <c r="G650" s="34"/>
      <c r="H650" s="34" t="str">
        <f>IF(LEFT('PL1(Full)'!$F650,4)="Thôn","Thôn","Tổ")</f>
        <v>Thôn</v>
      </c>
      <c r="I650" s="36">
        <v>44</v>
      </c>
      <c r="J650" s="36">
        <v>158</v>
      </c>
      <c r="K650" s="36">
        <v>36</v>
      </c>
      <c r="L650" s="37">
        <f t="shared" si="0"/>
        <v>81.818181818181813</v>
      </c>
      <c r="M650" s="36">
        <v>15</v>
      </c>
      <c r="N650" s="38">
        <f t="shared" si="1"/>
        <v>34.090909090909093</v>
      </c>
      <c r="O650" s="36">
        <v>11</v>
      </c>
      <c r="P650" s="38">
        <f t="shared" si="2"/>
        <v>73.333333333333329</v>
      </c>
      <c r="Q650" s="39" t="s">
        <v>63</v>
      </c>
      <c r="R650" s="39" t="str">
        <f t="shared" si="3"/>
        <v>X</v>
      </c>
      <c r="S650" s="34" t="s">
        <v>60</v>
      </c>
      <c r="T650" s="34" t="str">
        <f>IF('PL1(Full)'!$N650&gt;=20,"x",IF(AND('PL1(Full)'!$N650&gt;=15,'PL1(Full)'!$P650&gt;60),"x",""))</f>
        <v>x</v>
      </c>
      <c r="U650" s="34" t="str">
        <f>IF(AND('PL1(Full)'!$H650="Thôn",'PL1(Full)'!$I650&lt;75),"x",IF(AND('PL1(Full)'!$H650="Tổ",'PL1(Full)'!$I650&lt;100),"x","-"))</f>
        <v>x</v>
      </c>
      <c r="V650" s="34" t="str">
        <f>IF(AND('PL1(Full)'!$H650="Thôn",'PL1(Full)'!$I650&lt;140),"x",IF(AND('PL1(Full)'!$H650="Tổ",'PL1(Full)'!$I650&lt;210),"x","-"))</f>
        <v>x</v>
      </c>
      <c r="W650" s="40" t="str">
        <f t="shared" si="114"/>
        <v>Loại 3</v>
      </c>
      <c r="X650" s="34"/>
    </row>
    <row r="651" spans="1:24" ht="15.75" hidden="1" customHeight="1">
      <c r="A651" s="30">
        <f>_xlfn.AGGREGATE(4,7,A$6:A650)+1</f>
        <v>453</v>
      </c>
      <c r="B651" s="31" t="str">
        <f t="shared" si="113"/>
        <v>H. Chợ Mới</v>
      </c>
      <c r="C651" s="31" t="str">
        <f t="shared" si="123"/>
        <v>X. Thanh Mai</v>
      </c>
      <c r="D651" s="34"/>
      <c r="E651" s="34" t="s">
        <v>58</v>
      </c>
      <c r="F651" s="31" t="s">
        <v>732</v>
      </c>
      <c r="G651" s="34"/>
      <c r="H651" s="34" t="str">
        <f>IF(LEFT('PL1(Full)'!$F651,4)="Thôn","Thôn","Tổ")</f>
        <v>Thôn</v>
      </c>
      <c r="I651" s="36">
        <v>85</v>
      </c>
      <c r="J651" s="36">
        <v>330</v>
      </c>
      <c r="K651" s="36">
        <v>70</v>
      </c>
      <c r="L651" s="37">
        <f t="shared" si="0"/>
        <v>82.352941176470594</v>
      </c>
      <c r="M651" s="36">
        <v>12</v>
      </c>
      <c r="N651" s="38">
        <f t="shared" si="1"/>
        <v>14.117647058823529</v>
      </c>
      <c r="O651" s="36">
        <v>11</v>
      </c>
      <c r="P651" s="38">
        <f t="shared" si="2"/>
        <v>91.666666666666671</v>
      </c>
      <c r="Q651" s="39" t="s">
        <v>63</v>
      </c>
      <c r="R651" s="39" t="str">
        <f t="shared" si="3"/>
        <v>X</v>
      </c>
      <c r="S651" s="34"/>
      <c r="T651" s="34" t="str">
        <f>IF('PL1(Full)'!$N651&gt;=20,"x",IF(AND('PL1(Full)'!$N651&gt;=15,'PL1(Full)'!$P651&gt;60),"x",""))</f>
        <v/>
      </c>
      <c r="U651" s="34" t="str">
        <f>IF(AND('PL1(Full)'!$H651="Thôn",'PL1(Full)'!$I651&lt;75),"x",IF(AND('PL1(Full)'!$H651="Tổ",'PL1(Full)'!$I651&lt;100),"x","-"))</f>
        <v>-</v>
      </c>
      <c r="V651" s="34" t="str">
        <f>IF(AND('PL1(Full)'!$H651="Thôn",'PL1(Full)'!$I651&lt;140),"x",IF(AND('PL1(Full)'!$H651="Tổ",'PL1(Full)'!$I651&lt;210),"x","-"))</f>
        <v>x</v>
      </c>
      <c r="W651" s="40" t="str">
        <f t="shared" si="114"/>
        <v>Loại 3</v>
      </c>
      <c r="X651" s="34"/>
    </row>
    <row r="652" spans="1:24" ht="15.75" customHeight="1">
      <c r="A652" s="30">
        <f>_xlfn.AGGREGATE(4,7,A$6:A651)+1</f>
        <v>453</v>
      </c>
      <c r="B652" s="31" t="str">
        <f t="shared" si="113"/>
        <v>H. Chợ Mới</v>
      </c>
      <c r="C652" s="31" t="str">
        <f t="shared" si="123"/>
        <v>X. Thanh Mai</v>
      </c>
      <c r="D652" s="34"/>
      <c r="E652" s="34" t="s">
        <v>58</v>
      </c>
      <c r="F652" s="31" t="s">
        <v>733</v>
      </c>
      <c r="G652" s="34"/>
      <c r="H652" s="34" t="str">
        <f>IF(LEFT('PL1(Full)'!$F652,4)="Thôn","Thôn","Tổ")</f>
        <v>Thôn</v>
      </c>
      <c r="I652" s="36">
        <v>32</v>
      </c>
      <c r="J652" s="36">
        <v>129</v>
      </c>
      <c r="K652" s="36">
        <v>31</v>
      </c>
      <c r="L652" s="37">
        <f t="shared" si="0"/>
        <v>96.875</v>
      </c>
      <c r="M652" s="36">
        <v>7</v>
      </c>
      <c r="N652" s="38">
        <f t="shared" si="1"/>
        <v>21.875</v>
      </c>
      <c r="O652" s="36">
        <v>7</v>
      </c>
      <c r="P652" s="38">
        <f t="shared" si="2"/>
        <v>100</v>
      </c>
      <c r="Q652" s="39" t="s">
        <v>52</v>
      </c>
      <c r="R652" s="39" t="str">
        <f t="shared" si="3"/>
        <v>C</v>
      </c>
      <c r="S652" s="34" t="s">
        <v>60</v>
      </c>
      <c r="T652" s="34" t="str">
        <f>IF('PL1(Full)'!$N652&gt;=20,"x",IF(AND('PL1(Full)'!$N652&gt;=15,'PL1(Full)'!$P652&gt;60),"x",""))</f>
        <v>x</v>
      </c>
      <c r="U652" s="34" t="str">
        <f>IF(AND('PL1(Full)'!$H652="Thôn",'PL1(Full)'!$I652&lt;75),"x",IF(AND('PL1(Full)'!$H652="Tổ",'PL1(Full)'!$I652&lt;100),"x","-"))</f>
        <v>x</v>
      </c>
      <c r="V652" s="34" t="str">
        <f>IF(AND('PL1(Full)'!$H652="Thôn",'PL1(Full)'!$I652&lt;140),"x",IF(AND('PL1(Full)'!$H652="Tổ",'PL1(Full)'!$I652&lt;210),"x","-"))</f>
        <v>x</v>
      </c>
      <c r="W652" s="40" t="str">
        <f t="shared" si="114"/>
        <v>Loại 3</v>
      </c>
      <c r="X652" s="34"/>
    </row>
    <row r="653" spans="1:24" ht="15.75" customHeight="1">
      <c r="A653" s="30">
        <f>_xlfn.AGGREGATE(4,7,A$6:A652)+1</f>
        <v>454</v>
      </c>
      <c r="B653" s="31" t="str">
        <f t="shared" si="113"/>
        <v>H. Chợ Mới</v>
      </c>
      <c r="C653" s="31" t="str">
        <f t="shared" si="123"/>
        <v>X. Thanh Mai</v>
      </c>
      <c r="D653" s="34"/>
      <c r="E653" s="34" t="s">
        <v>58</v>
      </c>
      <c r="F653" s="31" t="s">
        <v>734</v>
      </c>
      <c r="G653" s="34"/>
      <c r="H653" s="34" t="str">
        <f>IF(LEFT('PL1(Full)'!$F653,4)="Thôn","Thôn","Tổ")</f>
        <v>Thôn</v>
      </c>
      <c r="I653" s="36">
        <v>63</v>
      </c>
      <c r="J653" s="36">
        <v>245</v>
      </c>
      <c r="K653" s="36">
        <v>20</v>
      </c>
      <c r="L653" s="37">
        <f t="shared" si="0"/>
        <v>31.746031746031747</v>
      </c>
      <c r="M653" s="36">
        <v>12</v>
      </c>
      <c r="N653" s="38">
        <f t="shared" si="1"/>
        <v>19.047619047619047</v>
      </c>
      <c r="O653" s="36">
        <v>2</v>
      </c>
      <c r="P653" s="38">
        <f t="shared" si="2"/>
        <v>16.666666666666668</v>
      </c>
      <c r="Q653" s="39" t="s">
        <v>56</v>
      </c>
      <c r="R653" s="39" t="str">
        <f t="shared" si="3"/>
        <v>X</v>
      </c>
      <c r="S653" s="34"/>
      <c r="T653" s="34" t="str">
        <f>IF('PL1(Full)'!$N653&gt;=20,"x",IF(AND('PL1(Full)'!$N653&gt;=15,'PL1(Full)'!$P653&gt;60),"x",""))</f>
        <v/>
      </c>
      <c r="U653" s="34" t="str">
        <f>IF(AND('PL1(Full)'!$H653="Thôn",'PL1(Full)'!$I653&lt;75),"x",IF(AND('PL1(Full)'!$H653="Tổ",'PL1(Full)'!$I653&lt;100),"x","-"))</f>
        <v>x</v>
      </c>
      <c r="V653" s="34" t="str">
        <f>IF(AND('PL1(Full)'!$H653="Thôn",'PL1(Full)'!$I653&lt;140),"x",IF(AND('PL1(Full)'!$H653="Tổ",'PL1(Full)'!$I653&lt;210),"x","-"))</f>
        <v>x</v>
      </c>
      <c r="W653" s="40" t="str">
        <f t="shared" si="114"/>
        <v>Loại 3</v>
      </c>
      <c r="X653" s="34"/>
    </row>
    <row r="654" spans="1:24" ht="15.75" hidden="1" customHeight="1">
      <c r="A654" s="30">
        <f>_xlfn.AGGREGATE(4,7,A$6:A653)+1</f>
        <v>455</v>
      </c>
      <c r="B654" s="31" t="str">
        <f t="shared" si="113"/>
        <v>H. Chợ Mới</v>
      </c>
      <c r="C654" s="31" t="str">
        <f t="shared" si="123"/>
        <v>X. Thanh Mai</v>
      </c>
      <c r="D654" s="34"/>
      <c r="E654" s="34" t="s">
        <v>58</v>
      </c>
      <c r="F654" s="31" t="s">
        <v>735</v>
      </c>
      <c r="G654" s="34"/>
      <c r="H654" s="34" t="str">
        <f>IF(LEFT('PL1(Full)'!$F654,4)="Thôn","Thôn","Tổ")</f>
        <v>Thôn</v>
      </c>
      <c r="I654" s="36">
        <v>81</v>
      </c>
      <c r="J654" s="36">
        <v>320</v>
      </c>
      <c r="K654" s="36">
        <v>66</v>
      </c>
      <c r="L654" s="37">
        <f t="shared" si="0"/>
        <v>81.481481481481481</v>
      </c>
      <c r="M654" s="36">
        <v>22</v>
      </c>
      <c r="N654" s="38">
        <f t="shared" si="1"/>
        <v>27.160493827160494</v>
      </c>
      <c r="O654" s="36">
        <v>18</v>
      </c>
      <c r="P654" s="38">
        <f t="shared" si="2"/>
        <v>81.818181818181813</v>
      </c>
      <c r="Q654" s="39" t="s">
        <v>63</v>
      </c>
      <c r="R654" s="39" t="str">
        <f t="shared" si="3"/>
        <v>X</v>
      </c>
      <c r="S654" s="34" t="s">
        <v>60</v>
      </c>
      <c r="T654" s="34" t="str">
        <f>IF('PL1(Full)'!$N654&gt;=20,"x",IF(AND('PL1(Full)'!$N654&gt;=15,'PL1(Full)'!$P654&gt;60),"x",""))</f>
        <v>x</v>
      </c>
      <c r="U654" s="34" t="str">
        <f>IF(AND('PL1(Full)'!$H654="Thôn",'PL1(Full)'!$I654&lt;75),"x",IF(AND('PL1(Full)'!$H654="Tổ",'PL1(Full)'!$I654&lt;100),"x","-"))</f>
        <v>-</v>
      </c>
      <c r="V654" s="34" t="str">
        <f>IF(AND('PL1(Full)'!$H654="Thôn",'PL1(Full)'!$I654&lt;140),"x",IF(AND('PL1(Full)'!$H654="Tổ",'PL1(Full)'!$I654&lt;210),"x","-"))</f>
        <v>x</v>
      </c>
      <c r="W654" s="40" t="str">
        <f t="shared" si="114"/>
        <v>Loại 3</v>
      </c>
      <c r="X654" s="34"/>
    </row>
    <row r="655" spans="1:24" ht="15.75" hidden="1" customHeight="1">
      <c r="A655" s="41">
        <f>_xlfn.AGGREGATE(4,7,A$6:A654)+1</f>
        <v>455</v>
      </c>
      <c r="B655" s="42" t="str">
        <f t="shared" si="113"/>
        <v>H. Chợ Mới</v>
      </c>
      <c r="C655" s="42" t="str">
        <f t="shared" si="123"/>
        <v>X. Thanh Mai</v>
      </c>
      <c r="D655" s="50"/>
      <c r="E655" s="50" t="s">
        <v>58</v>
      </c>
      <c r="F655" s="42" t="s">
        <v>486</v>
      </c>
      <c r="G655" s="50"/>
      <c r="H655" s="50" t="str">
        <f>IF(LEFT('PL1(Full)'!$F655,4)="Thôn","Thôn","Tổ")</f>
        <v>Thôn</v>
      </c>
      <c r="I655" s="46">
        <v>108</v>
      </c>
      <c r="J655" s="46">
        <v>445</v>
      </c>
      <c r="K655" s="46">
        <v>101</v>
      </c>
      <c r="L655" s="47">
        <f t="shared" si="0"/>
        <v>93.518518518518519</v>
      </c>
      <c r="M655" s="46">
        <v>12</v>
      </c>
      <c r="N655" s="48">
        <f t="shared" si="1"/>
        <v>11.111111111111111</v>
      </c>
      <c r="O655" s="46">
        <v>12</v>
      </c>
      <c r="P655" s="48">
        <f t="shared" si="2"/>
        <v>100</v>
      </c>
      <c r="Q655" s="49" t="s">
        <v>56</v>
      </c>
      <c r="R655" s="49" t="str">
        <f t="shared" si="3"/>
        <v>X</v>
      </c>
      <c r="S655" s="50"/>
      <c r="T655" s="50" t="str">
        <f>IF('PL1(Full)'!$N655&gt;=20,"x",IF(AND('PL1(Full)'!$N655&gt;=15,'PL1(Full)'!$P655&gt;60),"x",""))</f>
        <v/>
      </c>
      <c r="U655" s="50" t="str">
        <f>IF(AND('PL1(Full)'!$H655="Thôn",'PL1(Full)'!$I655&lt;75),"x",IF(AND('PL1(Full)'!$H655="Tổ",'PL1(Full)'!$I655&lt;100),"x","-"))</f>
        <v>-</v>
      </c>
      <c r="V655" s="34" t="str">
        <f>IF(AND('PL1(Full)'!$H655="Thôn",'PL1(Full)'!$I655&lt;140),"x",IF(AND('PL1(Full)'!$H655="Tổ",'PL1(Full)'!$I655&lt;210),"x","-"))</f>
        <v>x</v>
      </c>
      <c r="W655" s="51" t="str">
        <f t="shared" si="114"/>
        <v>Loại 2</v>
      </c>
      <c r="X655" s="50"/>
    </row>
    <row r="656" spans="1:24" ht="15.75" customHeight="1">
      <c r="A656" s="52">
        <f>_xlfn.AGGREGATE(4,7,A$6:A655)+1</f>
        <v>455</v>
      </c>
      <c r="B656" s="14" t="str">
        <f t="shared" si="113"/>
        <v>H. Chợ Mới</v>
      </c>
      <c r="C656" s="14" t="s">
        <v>736</v>
      </c>
      <c r="D656" s="15" t="s">
        <v>36</v>
      </c>
      <c r="E656" s="16" t="s">
        <v>36</v>
      </c>
      <c r="F656" s="65" t="s">
        <v>737</v>
      </c>
      <c r="G656" s="18"/>
      <c r="H656" s="18" t="str">
        <f>IF(LEFT('PL1(Full)'!$F656,4)="Thôn","Thôn","Tổ")</f>
        <v>Thôn</v>
      </c>
      <c r="I656" s="19">
        <v>57</v>
      </c>
      <c r="J656" s="20">
        <v>247</v>
      </c>
      <c r="K656" s="20">
        <v>48</v>
      </c>
      <c r="L656" s="21">
        <f t="shared" si="0"/>
        <v>84.21052631578948</v>
      </c>
      <c r="M656" s="20">
        <v>0</v>
      </c>
      <c r="N656" s="22">
        <f t="shared" si="1"/>
        <v>0</v>
      </c>
      <c r="O656" s="20">
        <v>0</v>
      </c>
      <c r="P656" s="22">
        <f t="shared" si="2"/>
        <v>0</v>
      </c>
      <c r="Q656" s="23" t="s">
        <v>63</v>
      </c>
      <c r="R656" s="24" t="str">
        <f t="shared" si="3"/>
        <v>X</v>
      </c>
      <c r="S656" s="25"/>
      <c r="T656" s="26" t="str">
        <f>IF('PL1(Full)'!$N656&gt;=20,"x",IF(AND('PL1(Full)'!$N656&gt;=15,'PL1(Full)'!$P656&gt;60),"x",""))</f>
        <v/>
      </c>
      <c r="U656" s="27" t="str">
        <f>IF(AND('PL1(Full)'!$H656="Thôn",'PL1(Full)'!$I656&lt;75),"x",IF(AND('PL1(Full)'!$H656="Tổ",'PL1(Full)'!$I656&lt;100),"x","-"))</f>
        <v>x</v>
      </c>
      <c r="V656" s="28" t="str">
        <f>IF(AND('PL1(Full)'!$H656="Thôn",'PL1(Full)'!$I656&lt;140),"x",IF(AND('PL1(Full)'!$H656="Tổ",'PL1(Full)'!$I656&lt;210),"x","-"))</f>
        <v>x</v>
      </c>
      <c r="W656" s="29" t="str">
        <f t="shared" si="114"/>
        <v>Loại 3</v>
      </c>
      <c r="X656" s="25"/>
    </row>
    <row r="657" spans="1:24" ht="15.75" customHeight="1">
      <c r="A657" s="30">
        <f>_xlfn.AGGREGATE(4,7,A$6:A656)+1</f>
        <v>456</v>
      </c>
      <c r="B657" s="31" t="str">
        <f t="shared" si="113"/>
        <v>H. Chợ Mới</v>
      </c>
      <c r="C657" s="31" t="str">
        <f t="shared" ref="C657:C671" si="124">C656</f>
        <v>X. Thanh Thịnh</v>
      </c>
      <c r="D657" s="32"/>
      <c r="E657" s="32" t="s">
        <v>36</v>
      </c>
      <c r="F657" s="33" t="s">
        <v>738</v>
      </c>
      <c r="G657" s="32"/>
      <c r="H657" s="32" t="str">
        <f>IF(LEFT('PL1(Full)'!$F657,4)="Thôn","Thôn","Tổ")</f>
        <v>Thôn</v>
      </c>
      <c r="I657" s="35">
        <v>69</v>
      </c>
      <c r="J657" s="36">
        <v>290</v>
      </c>
      <c r="K657" s="36">
        <v>61</v>
      </c>
      <c r="L657" s="37">
        <f t="shared" si="0"/>
        <v>88.405797101449281</v>
      </c>
      <c r="M657" s="36">
        <v>2</v>
      </c>
      <c r="N657" s="38">
        <f t="shared" si="1"/>
        <v>2.8985507246376812</v>
      </c>
      <c r="O657" s="36">
        <v>2</v>
      </c>
      <c r="P657" s="38">
        <f t="shared" si="2"/>
        <v>100</v>
      </c>
      <c r="Q657" s="39" t="s">
        <v>63</v>
      </c>
      <c r="R657" s="39" t="str">
        <f t="shared" si="3"/>
        <v>X</v>
      </c>
      <c r="S657" s="34"/>
      <c r="T657" s="34" t="str">
        <f>IF('PL1(Full)'!$N657&gt;=20,"x",IF(AND('PL1(Full)'!$N657&gt;=15,'PL1(Full)'!$P657&gt;60),"x",""))</f>
        <v/>
      </c>
      <c r="U657" s="34" t="str">
        <f>IF(AND('PL1(Full)'!$H657="Thôn",'PL1(Full)'!$I657&lt;75),"x",IF(AND('PL1(Full)'!$H657="Tổ",'PL1(Full)'!$I657&lt;100),"x","-"))</f>
        <v>x</v>
      </c>
      <c r="V657" s="34" t="str">
        <f>IF(AND('PL1(Full)'!$H657="Thôn",'PL1(Full)'!$I657&lt;140),"x",IF(AND('PL1(Full)'!$H657="Tổ",'PL1(Full)'!$I657&lt;210),"x","-"))</f>
        <v>x</v>
      </c>
      <c r="W657" s="40" t="str">
        <f t="shared" si="114"/>
        <v>Loại 3</v>
      </c>
      <c r="X657" s="34"/>
    </row>
    <row r="658" spans="1:24" ht="15.75" hidden="1" customHeight="1">
      <c r="A658" s="30">
        <f>_xlfn.AGGREGATE(4,7,A$6:A657)+1</f>
        <v>457</v>
      </c>
      <c r="B658" s="31" t="str">
        <f t="shared" si="113"/>
        <v>H. Chợ Mới</v>
      </c>
      <c r="C658" s="31" t="str">
        <f t="shared" si="124"/>
        <v>X. Thanh Thịnh</v>
      </c>
      <c r="D658" s="32"/>
      <c r="E658" s="32" t="s">
        <v>36</v>
      </c>
      <c r="F658" s="33" t="s">
        <v>739</v>
      </c>
      <c r="G658" s="32"/>
      <c r="H658" s="32" t="str">
        <f>IF(LEFT('PL1(Full)'!$F658,4)="Thôn","Thôn","Tổ")</f>
        <v>Thôn</v>
      </c>
      <c r="I658" s="35">
        <v>79</v>
      </c>
      <c r="J658" s="36">
        <v>335</v>
      </c>
      <c r="K658" s="36">
        <v>55</v>
      </c>
      <c r="L658" s="37">
        <f t="shared" si="0"/>
        <v>69.620253164556956</v>
      </c>
      <c r="M658" s="36">
        <v>2</v>
      </c>
      <c r="N658" s="38">
        <f t="shared" si="1"/>
        <v>2.5316455696202533</v>
      </c>
      <c r="O658" s="36">
        <v>1</v>
      </c>
      <c r="P658" s="38">
        <f t="shared" si="2"/>
        <v>50</v>
      </c>
      <c r="Q658" s="39" t="s">
        <v>63</v>
      </c>
      <c r="R658" s="39" t="str">
        <f t="shared" si="3"/>
        <v>X</v>
      </c>
      <c r="S658" s="34"/>
      <c r="T658" s="34" t="str">
        <f>IF('PL1(Full)'!$N658&gt;=20,"x",IF(AND('PL1(Full)'!$N658&gt;=15,'PL1(Full)'!$P658&gt;60),"x",""))</f>
        <v/>
      </c>
      <c r="U658" s="34" t="str">
        <f>IF(AND('PL1(Full)'!$H658="Thôn",'PL1(Full)'!$I658&lt;75),"x",IF(AND('PL1(Full)'!$H658="Tổ",'PL1(Full)'!$I658&lt;100),"x","-"))</f>
        <v>-</v>
      </c>
      <c r="V658" s="34" t="str">
        <f>IF(AND('PL1(Full)'!$H658="Thôn",'PL1(Full)'!$I658&lt;140),"x",IF(AND('PL1(Full)'!$H658="Tổ",'PL1(Full)'!$I658&lt;210),"x","-"))</f>
        <v>x</v>
      </c>
      <c r="W658" s="40" t="str">
        <f t="shared" si="114"/>
        <v>Loại 3</v>
      </c>
      <c r="X658" s="34"/>
    </row>
    <row r="659" spans="1:24" ht="15.75" customHeight="1">
      <c r="A659" s="30">
        <f>_xlfn.AGGREGATE(4,7,A$6:A658)+1</f>
        <v>457</v>
      </c>
      <c r="B659" s="31" t="str">
        <f t="shared" si="113"/>
        <v>H. Chợ Mới</v>
      </c>
      <c r="C659" s="31" t="str">
        <f t="shared" si="124"/>
        <v>X. Thanh Thịnh</v>
      </c>
      <c r="D659" s="32"/>
      <c r="E659" s="32" t="s">
        <v>36</v>
      </c>
      <c r="F659" s="33" t="s">
        <v>740</v>
      </c>
      <c r="G659" s="32"/>
      <c r="H659" s="32" t="str">
        <f>IF(LEFT('PL1(Full)'!$F659,4)="Thôn","Thôn","Tổ")</f>
        <v>Thôn</v>
      </c>
      <c r="I659" s="35">
        <v>62</v>
      </c>
      <c r="J659" s="36">
        <v>242</v>
      </c>
      <c r="K659" s="36">
        <v>54</v>
      </c>
      <c r="L659" s="37">
        <f t="shared" si="0"/>
        <v>87.096774193548384</v>
      </c>
      <c r="M659" s="36">
        <v>2</v>
      </c>
      <c r="N659" s="38">
        <f t="shared" si="1"/>
        <v>3.225806451612903</v>
      </c>
      <c r="O659" s="36">
        <v>2</v>
      </c>
      <c r="P659" s="38">
        <f t="shared" si="2"/>
        <v>100</v>
      </c>
      <c r="Q659" s="39" t="s">
        <v>63</v>
      </c>
      <c r="R659" s="39" t="str">
        <f t="shared" si="3"/>
        <v>X</v>
      </c>
      <c r="S659" s="34"/>
      <c r="T659" s="34" t="str">
        <f>IF('PL1(Full)'!$N659&gt;=20,"x",IF(AND('PL1(Full)'!$N659&gt;=15,'PL1(Full)'!$P659&gt;60),"x",""))</f>
        <v/>
      </c>
      <c r="U659" s="34" t="str">
        <f>IF(AND('PL1(Full)'!$H659="Thôn",'PL1(Full)'!$I659&lt;75),"x",IF(AND('PL1(Full)'!$H659="Tổ",'PL1(Full)'!$I659&lt;100),"x","-"))</f>
        <v>x</v>
      </c>
      <c r="V659" s="34" t="str">
        <f>IF(AND('PL1(Full)'!$H659="Thôn",'PL1(Full)'!$I659&lt;140),"x",IF(AND('PL1(Full)'!$H659="Tổ",'PL1(Full)'!$I659&lt;210),"x","-"))</f>
        <v>x</v>
      </c>
      <c r="W659" s="40" t="str">
        <f t="shared" si="114"/>
        <v>Loại 3</v>
      </c>
      <c r="X659" s="34"/>
    </row>
    <row r="660" spans="1:24" ht="15.75" hidden="1" customHeight="1">
      <c r="A660" s="30">
        <f>_xlfn.AGGREGATE(4,7,A$6:A659)+1</f>
        <v>458</v>
      </c>
      <c r="B660" s="31" t="str">
        <f t="shared" si="113"/>
        <v>H. Chợ Mới</v>
      </c>
      <c r="C660" s="31" t="str">
        <f t="shared" si="124"/>
        <v>X. Thanh Thịnh</v>
      </c>
      <c r="D660" s="32"/>
      <c r="E660" s="32" t="s">
        <v>36</v>
      </c>
      <c r="F660" s="66" t="s">
        <v>741</v>
      </c>
      <c r="G660" s="32"/>
      <c r="H660" s="32" t="str">
        <f>IF(LEFT('PL1(Full)'!$F660,4)="Thôn","Thôn","Tổ")</f>
        <v>Thôn</v>
      </c>
      <c r="I660" s="35">
        <v>128</v>
      </c>
      <c r="J660" s="36">
        <v>481</v>
      </c>
      <c r="K660" s="36">
        <v>105</v>
      </c>
      <c r="L660" s="37">
        <f t="shared" si="0"/>
        <v>82.03125</v>
      </c>
      <c r="M660" s="36">
        <v>0</v>
      </c>
      <c r="N660" s="38">
        <f t="shared" si="1"/>
        <v>0</v>
      </c>
      <c r="O660" s="36">
        <v>0</v>
      </c>
      <c r="P660" s="38">
        <f t="shared" si="2"/>
        <v>0</v>
      </c>
      <c r="Q660" s="39" t="s">
        <v>49</v>
      </c>
      <c r="R660" s="39" t="str">
        <f t="shared" si="3"/>
        <v>X</v>
      </c>
      <c r="S660" s="34"/>
      <c r="T660" s="34" t="str">
        <f>IF('PL1(Full)'!$N660&gt;=20,"x",IF(AND('PL1(Full)'!$N660&gt;=15,'PL1(Full)'!$P660&gt;60),"x",""))</f>
        <v/>
      </c>
      <c r="U660" s="34" t="str">
        <f>IF(AND('PL1(Full)'!$H660="Thôn",'PL1(Full)'!$I660&lt;75),"x",IF(AND('PL1(Full)'!$H660="Tổ",'PL1(Full)'!$I660&lt;100),"x","-"))</f>
        <v>-</v>
      </c>
      <c r="V660" s="34" t="str">
        <f>IF(AND('PL1(Full)'!$H660="Thôn",'PL1(Full)'!$I660&lt;140),"x",IF(AND('PL1(Full)'!$H660="Tổ",'PL1(Full)'!$I660&lt;210),"x","-"))</f>
        <v>x</v>
      </c>
      <c r="W660" s="40" t="str">
        <f t="shared" si="114"/>
        <v>Loại 2</v>
      </c>
      <c r="X660" s="34"/>
    </row>
    <row r="661" spans="1:24" ht="15.75" customHeight="1">
      <c r="A661" s="30">
        <f>_xlfn.AGGREGATE(4,7,A$6:A660)+1</f>
        <v>458</v>
      </c>
      <c r="B661" s="31" t="str">
        <f t="shared" si="113"/>
        <v>H. Chợ Mới</v>
      </c>
      <c r="C661" s="31" t="str">
        <f t="shared" si="124"/>
        <v>X. Thanh Thịnh</v>
      </c>
      <c r="D661" s="32"/>
      <c r="E661" s="32" t="s">
        <v>36</v>
      </c>
      <c r="F661" s="66" t="s">
        <v>742</v>
      </c>
      <c r="G661" s="32" t="s">
        <v>137</v>
      </c>
      <c r="H661" s="32" t="str">
        <f>IF(LEFT('PL1(Full)'!$F661,4)="Thôn","Thôn","Tổ")</f>
        <v>Thôn</v>
      </c>
      <c r="I661" s="35">
        <v>73</v>
      </c>
      <c r="J661" s="36">
        <v>318</v>
      </c>
      <c r="K661" s="36">
        <v>66</v>
      </c>
      <c r="L661" s="37">
        <f t="shared" si="0"/>
        <v>90.410958904109592</v>
      </c>
      <c r="M661" s="36">
        <v>0</v>
      </c>
      <c r="N661" s="38">
        <f t="shared" si="1"/>
        <v>0</v>
      </c>
      <c r="O661" s="36">
        <v>0</v>
      </c>
      <c r="P661" s="38">
        <f t="shared" si="2"/>
        <v>0</v>
      </c>
      <c r="Q661" s="39" t="s">
        <v>49</v>
      </c>
      <c r="R661" s="39" t="str">
        <f t="shared" si="3"/>
        <v>X</v>
      </c>
      <c r="S661" s="34"/>
      <c r="T661" s="34" t="str">
        <f>IF('PL1(Full)'!$N661&gt;=20,"x",IF(AND('PL1(Full)'!$N661&gt;=15,'PL1(Full)'!$P661&gt;60),"x",""))</f>
        <v/>
      </c>
      <c r="U661" s="34" t="str">
        <f>IF(AND('PL1(Full)'!$H661="Thôn",'PL1(Full)'!$I661&lt;75),"x",IF(AND('PL1(Full)'!$H661="Tổ",'PL1(Full)'!$I661&lt;100),"x","-"))</f>
        <v>x</v>
      </c>
      <c r="V661" s="34" t="str">
        <f>IF(AND('PL1(Full)'!$H661="Thôn",'PL1(Full)'!$I661&lt;140),"x",IF(AND('PL1(Full)'!$H661="Tổ",'PL1(Full)'!$I661&lt;210),"x","-"))</f>
        <v>x</v>
      </c>
      <c r="W661" s="40" t="str">
        <f t="shared" si="114"/>
        <v>Loại 3</v>
      </c>
      <c r="X661" s="34"/>
    </row>
    <row r="662" spans="1:24" ht="15.75" customHeight="1">
      <c r="A662" s="30">
        <f>_xlfn.AGGREGATE(4,7,A$6:A661)+1</f>
        <v>459</v>
      </c>
      <c r="B662" s="31" t="str">
        <f t="shared" si="113"/>
        <v>H. Chợ Mới</v>
      </c>
      <c r="C662" s="31" t="str">
        <f t="shared" si="124"/>
        <v>X. Thanh Thịnh</v>
      </c>
      <c r="D662" s="32"/>
      <c r="E662" s="32" t="s">
        <v>36</v>
      </c>
      <c r="F662" s="33" t="s">
        <v>743</v>
      </c>
      <c r="G662" s="32"/>
      <c r="H662" s="32" t="str">
        <f>IF(LEFT('PL1(Full)'!$F662,4)="Thôn","Thôn","Tổ")</f>
        <v>Thôn</v>
      </c>
      <c r="I662" s="35">
        <v>64</v>
      </c>
      <c r="J662" s="36">
        <v>288</v>
      </c>
      <c r="K662" s="36">
        <v>49</v>
      </c>
      <c r="L662" s="37">
        <f t="shared" si="0"/>
        <v>76.5625</v>
      </c>
      <c r="M662" s="36">
        <v>3</v>
      </c>
      <c r="N662" s="38">
        <f t="shared" si="1"/>
        <v>4.6875</v>
      </c>
      <c r="O662" s="36">
        <v>2</v>
      </c>
      <c r="P662" s="38">
        <f t="shared" si="2"/>
        <v>66.666666666666671</v>
      </c>
      <c r="Q662" s="39" t="s">
        <v>63</v>
      </c>
      <c r="R662" s="39" t="str">
        <f t="shared" si="3"/>
        <v>X</v>
      </c>
      <c r="S662" s="34"/>
      <c r="T662" s="34" t="str">
        <f>IF('PL1(Full)'!$N662&gt;=20,"x",IF(AND('PL1(Full)'!$N662&gt;=15,'PL1(Full)'!$P662&gt;60),"x",""))</f>
        <v/>
      </c>
      <c r="U662" s="34" t="str">
        <f>IF(AND('PL1(Full)'!$H662="Thôn",'PL1(Full)'!$I662&lt;75),"x",IF(AND('PL1(Full)'!$H662="Tổ",'PL1(Full)'!$I662&lt;100),"x","-"))</f>
        <v>x</v>
      </c>
      <c r="V662" s="34" t="str">
        <f>IF(AND('PL1(Full)'!$H662="Thôn",'PL1(Full)'!$I662&lt;140),"x",IF(AND('PL1(Full)'!$H662="Tổ",'PL1(Full)'!$I662&lt;210),"x","-"))</f>
        <v>x</v>
      </c>
      <c r="W662" s="40" t="str">
        <f t="shared" si="114"/>
        <v>Loại 3</v>
      </c>
      <c r="X662" s="34"/>
    </row>
    <row r="663" spans="1:24" ht="15.75" customHeight="1">
      <c r="A663" s="30">
        <f>_xlfn.AGGREGATE(4,7,A$6:A662)+1</f>
        <v>460</v>
      </c>
      <c r="B663" s="31" t="str">
        <f t="shared" si="113"/>
        <v>H. Chợ Mới</v>
      </c>
      <c r="C663" s="31" t="str">
        <f t="shared" si="124"/>
        <v>X. Thanh Thịnh</v>
      </c>
      <c r="D663" s="32"/>
      <c r="E663" s="32" t="s">
        <v>36</v>
      </c>
      <c r="F663" s="33" t="s">
        <v>744</v>
      </c>
      <c r="G663" s="32"/>
      <c r="H663" s="32" t="str">
        <f>IF(LEFT('PL1(Full)'!$F663,4)="Thôn","Thôn","Tổ")</f>
        <v>Thôn</v>
      </c>
      <c r="I663" s="35">
        <v>19</v>
      </c>
      <c r="J663" s="36">
        <v>74</v>
      </c>
      <c r="K663" s="36">
        <v>19</v>
      </c>
      <c r="L663" s="37">
        <f t="shared" si="0"/>
        <v>100</v>
      </c>
      <c r="M663" s="36">
        <v>5</v>
      </c>
      <c r="N663" s="38">
        <f t="shared" si="1"/>
        <v>26.315789473684209</v>
      </c>
      <c r="O663" s="36">
        <v>5</v>
      </c>
      <c r="P663" s="38">
        <f t="shared" si="2"/>
        <v>100</v>
      </c>
      <c r="Q663" s="39" t="s">
        <v>63</v>
      </c>
      <c r="R663" s="39" t="str">
        <f t="shared" si="3"/>
        <v>X</v>
      </c>
      <c r="S663" s="34" t="s">
        <v>60</v>
      </c>
      <c r="T663" s="34" t="str">
        <f>IF('PL1(Full)'!$N663&gt;=20,"x",IF(AND('PL1(Full)'!$N663&gt;=15,'PL1(Full)'!$P663&gt;60),"x",""))</f>
        <v>x</v>
      </c>
      <c r="U663" s="34" t="str">
        <f>IF(AND('PL1(Full)'!$H663="Thôn",'PL1(Full)'!$I663&lt;75),"x",IF(AND('PL1(Full)'!$H663="Tổ",'PL1(Full)'!$I663&lt;100),"x","-"))</f>
        <v>x</v>
      </c>
      <c r="V663" s="34" t="str">
        <f>IF(AND('PL1(Full)'!$H663="Thôn",'PL1(Full)'!$I663&lt;140),"x",IF(AND('PL1(Full)'!$H663="Tổ",'PL1(Full)'!$I663&lt;210),"x","-"))</f>
        <v>x</v>
      </c>
      <c r="W663" s="40" t="str">
        <f t="shared" si="114"/>
        <v>Loại 3</v>
      </c>
      <c r="X663" s="34"/>
    </row>
    <row r="664" spans="1:24" ht="15.75" hidden="1" customHeight="1">
      <c r="A664" s="30">
        <f>_xlfn.AGGREGATE(4,7,A$6:A663)+1</f>
        <v>461</v>
      </c>
      <c r="B664" s="31" t="str">
        <f t="shared" si="113"/>
        <v>H. Chợ Mới</v>
      </c>
      <c r="C664" s="31" t="str">
        <f t="shared" si="124"/>
        <v>X. Thanh Thịnh</v>
      </c>
      <c r="D664" s="32"/>
      <c r="E664" s="32" t="s">
        <v>36</v>
      </c>
      <c r="F664" s="33" t="s">
        <v>745</v>
      </c>
      <c r="G664" s="32"/>
      <c r="H664" s="32" t="str">
        <f>IF(LEFT('PL1(Full)'!$F664,4)="Thôn","Thôn","Tổ")</f>
        <v>Thôn</v>
      </c>
      <c r="I664" s="35">
        <v>82</v>
      </c>
      <c r="J664" s="36">
        <v>277</v>
      </c>
      <c r="K664" s="36">
        <v>76</v>
      </c>
      <c r="L664" s="37">
        <f t="shared" si="0"/>
        <v>92.682926829268297</v>
      </c>
      <c r="M664" s="36">
        <v>1</v>
      </c>
      <c r="N664" s="38">
        <f t="shared" si="1"/>
        <v>1.2195121951219512</v>
      </c>
      <c r="O664" s="36">
        <v>1</v>
      </c>
      <c r="P664" s="38">
        <f t="shared" si="2"/>
        <v>100</v>
      </c>
      <c r="Q664" s="39" t="s">
        <v>49</v>
      </c>
      <c r="R664" s="39" t="str">
        <f t="shared" si="3"/>
        <v>X</v>
      </c>
      <c r="S664" s="34"/>
      <c r="T664" s="34" t="str">
        <f>IF('PL1(Full)'!$N664&gt;=20,"x",IF(AND('PL1(Full)'!$N664&gt;=15,'PL1(Full)'!$P664&gt;60),"x",""))</f>
        <v/>
      </c>
      <c r="U664" s="34" t="str">
        <f>IF(AND('PL1(Full)'!$H664="Thôn",'PL1(Full)'!$I664&lt;75),"x",IF(AND('PL1(Full)'!$H664="Tổ",'PL1(Full)'!$I664&lt;100),"x","-"))</f>
        <v>-</v>
      </c>
      <c r="V664" s="34" t="str">
        <f>IF(AND('PL1(Full)'!$H664="Thôn",'PL1(Full)'!$I664&lt;140),"x",IF(AND('PL1(Full)'!$H664="Tổ",'PL1(Full)'!$I664&lt;210),"x","-"))</f>
        <v>x</v>
      </c>
      <c r="W664" s="40" t="str">
        <f t="shared" si="114"/>
        <v>Loại 3</v>
      </c>
      <c r="X664" s="34"/>
    </row>
    <row r="665" spans="1:24" ht="15.75" customHeight="1">
      <c r="A665" s="30">
        <f>_xlfn.AGGREGATE(4,7,A$6:A664)+1</f>
        <v>461</v>
      </c>
      <c r="B665" s="31" t="str">
        <f t="shared" si="113"/>
        <v>H. Chợ Mới</v>
      </c>
      <c r="C665" s="31" t="str">
        <f t="shared" si="124"/>
        <v>X. Thanh Thịnh</v>
      </c>
      <c r="D665" s="32"/>
      <c r="E665" s="32" t="s">
        <v>36</v>
      </c>
      <c r="F665" s="33" t="s">
        <v>746</v>
      </c>
      <c r="G665" s="32"/>
      <c r="H665" s="32" t="str">
        <f>IF(LEFT('PL1(Full)'!$F665,4)="Thôn","Thôn","Tổ")</f>
        <v>Thôn</v>
      </c>
      <c r="I665" s="35">
        <v>38</v>
      </c>
      <c r="J665" s="36">
        <v>147</v>
      </c>
      <c r="K665" s="36">
        <v>33</v>
      </c>
      <c r="L665" s="37">
        <f t="shared" si="0"/>
        <v>86.84210526315789</v>
      </c>
      <c r="M665" s="36">
        <v>0</v>
      </c>
      <c r="N665" s="38">
        <f t="shared" si="1"/>
        <v>0</v>
      </c>
      <c r="O665" s="36">
        <v>0</v>
      </c>
      <c r="P665" s="38">
        <f t="shared" si="2"/>
        <v>0</v>
      </c>
      <c r="Q665" s="39" t="s">
        <v>63</v>
      </c>
      <c r="R665" s="39" t="str">
        <f t="shared" si="3"/>
        <v>X</v>
      </c>
      <c r="S665" s="34"/>
      <c r="T665" s="34" t="str">
        <f>IF('PL1(Full)'!$N665&gt;=20,"x",IF(AND('PL1(Full)'!$N665&gt;=15,'PL1(Full)'!$P665&gt;60),"x",""))</f>
        <v/>
      </c>
      <c r="U665" s="34" t="str">
        <f>IF(AND('PL1(Full)'!$H665="Thôn",'PL1(Full)'!$I665&lt;75),"x",IF(AND('PL1(Full)'!$H665="Tổ",'PL1(Full)'!$I665&lt;100),"x","-"))</f>
        <v>x</v>
      </c>
      <c r="V665" s="34" t="str">
        <f>IF(AND('PL1(Full)'!$H665="Thôn",'PL1(Full)'!$I665&lt;140),"x",IF(AND('PL1(Full)'!$H665="Tổ",'PL1(Full)'!$I665&lt;210),"x","-"))</f>
        <v>x</v>
      </c>
      <c r="W665" s="40" t="str">
        <f t="shared" si="114"/>
        <v>Loại 3</v>
      </c>
      <c r="X665" s="34"/>
    </row>
    <row r="666" spans="1:24" ht="15.75" customHeight="1">
      <c r="A666" s="30">
        <f>_xlfn.AGGREGATE(4,7,A$6:A665)+1</f>
        <v>462</v>
      </c>
      <c r="B666" s="31" t="str">
        <f t="shared" si="113"/>
        <v>H. Chợ Mới</v>
      </c>
      <c r="C666" s="31" t="str">
        <f t="shared" si="124"/>
        <v>X. Thanh Thịnh</v>
      </c>
      <c r="D666" s="32"/>
      <c r="E666" s="32" t="s">
        <v>36</v>
      </c>
      <c r="F666" s="33" t="s">
        <v>747</v>
      </c>
      <c r="G666" s="32"/>
      <c r="H666" s="32" t="str">
        <f>IF(LEFT('PL1(Full)'!$F666,4)="Thôn","Thôn","Tổ")</f>
        <v>Thôn</v>
      </c>
      <c r="I666" s="35">
        <v>44</v>
      </c>
      <c r="J666" s="36">
        <v>194</v>
      </c>
      <c r="K666" s="36">
        <v>29</v>
      </c>
      <c r="L666" s="37">
        <f t="shared" si="0"/>
        <v>65.909090909090907</v>
      </c>
      <c r="M666" s="36">
        <v>3</v>
      </c>
      <c r="N666" s="38">
        <f t="shared" si="1"/>
        <v>6.8181818181818183</v>
      </c>
      <c r="O666" s="36">
        <v>3</v>
      </c>
      <c r="P666" s="38">
        <f t="shared" si="2"/>
        <v>100</v>
      </c>
      <c r="Q666" s="39" t="s">
        <v>63</v>
      </c>
      <c r="R666" s="39" t="str">
        <f t="shared" si="3"/>
        <v>X</v>
      </c>
      <c r="S666" s="34"/>
      <c r="T666" s="34" t="str">
        <f>IF('PL1(Full)'!$N666&gt;=20,"x",IF(AND('PL1(Full)'!$N666&gt;=15,'PL1(Full)'!$P666&gt;60),"x",""))</f>
        <v/>
      </c>
      <c r="U666" s="34" t="str">
        <f>IF(AND('PL1(Full)'!$H666="Thôn",'PL1(Full)'!$I666&lt;75),"x",IF(AND('PL1(Full)'!$H666="Tổ",'PL1(Full)'!$I666&lt;100),"x","-"))</f>
        <v>x</v>
      </c>
      <c r="V666" s="34" t="str">
        <f>IF(AND('PL1(Full)'!$H666="Thôn",'PL1(Full)'!$I666&lt;140),"x",IF(AND('PL1(Full)'!$H666="Tổ",'PL1(Full)'!$I666&lt;210),"x","-"))</f>
        <v>x</v>
      </c>
      <c r="W666" s="40" t="str">
        <f t="shared" si="114"/>
        <v>Loại 3</v>
      </c>
      <c r="X666" s="34"/>
    </row>
    <row r="667" spans="1:24" ht="15.75" customHeight="1">
      <c r="A667" s="30">
        <f>_xlfn.AGGREGATE(4,7,A$6:A666)+1</f>
        <v>463</v>
      </c>
      <c r="B667" s="31" t="str">
        <f t="shared" si="113"/>
        <v>H. Chợ Mới</v>
      </c>
      <c r="C667" s="31" t="str">
        <f t="shared" si="124"/>
        <v>X. Thanh Thịnh</v>
      </c>
      <c r="D667" s="32"/>
      <c r="E667" s="32" t="s">
        <v>36</v>
      </c>
      <c r="F667" s="33" t="s">
        <v>748</v>
      </c>
      <c r="G667" s="32"/>
      <c r="H667" s="32" t="str">
        <f>IF(LEFT('PL1(Full)'!$F667,4)="Thôn","Thôn","Tổ")</f>
        <v>Thôn</v>
      </c>
      <c r="I667" s="35">
        <v>72</v>
      </c>
      <c r="J667" s="36">
        <v>298</v>
      </c>
      <c r="K667" s="36">
        <v>62</v>
      </c>
      <c r="L667" s="37">
        <f t="shared" si="0"/>
        <v>86.111111111111114</v>
      </c>
      <c r="M667" s="36">
        <v>5</v>
      </c>
      <c r="N667" s="38">
        <f t="shared" si="1"/>
        <v>6.9444444444444446</v>
      </c>
      <c r="O667" s="36">
        <v>4</v>
      </c>
      <c r="P667" s="38">
        <f t="shared" si="2"/>
        <v>80</v>
      </c>
      <c r="Q667" s="39" t="s">
        <v>63</v>
      </c>
      <c r="R667" s="39" t="str">
        <f t="shared" si="3"/>
        <v>X</v>
      </c>
      <c r="S667" s="34"/>
      <c r="T667" s="34" t="str">
        <f>IF('PL1(Full)'!$N667&gt;=20,"x",IF(AND('PL1(Full)'!$N667&gt;=15,'PL1(Full)'!$P667&gt;60),"x",""))</f>
        <v/>
      </c>
      <c r="U667" s="34" t="str">
        <f>IF(AND('PL1(Full)'!$H667="Thôn",'PL1(Full)'!$I667&lt;75),"x",IF(AND('PL1(Full)'!$H667="Tổ",'PL1(Full)'!$I667&lt;100),"x","-"))</f>
        <v>x</v>
      </c>
      <c r="V667" s="34" t="str">
        <f>IF(AND('PL1(Full)'!$H667="Thôn",'PL1(Full)'!$I667&lt;140),"x",IF(AND('PL1(Full)'!$H667="Tổ",'PL1(Full)'!$I667&lt;210),"x","-"))</f>
        <v>x</v>
      </c>
      <c r="W667" s="40" t="str">
        <f t="shared" si="114"/>
        <v>Loại 3</v>
      </c>
      <c r="X667" s="34"/>
    </row>
    <row r="668" spans="1:24" ht="15.75" customHeight="1">
      <c r="A668" s="30">
        <f>_xlfn.AGGREGATE(4,7,A$6:A667)+1</f>
        <v>464</v>
      </c>
      <c r="B668" s="31" t="str">
        <f t="shared" si="113"/>
        <v>H. Chợ Mới</v>
      </c>
      <c r="C668" s="31" t="str">
        <f t="shared" si="124"/>
        <v>X. Thanh Thịnh</v>
      </c>
      <c r="D668" s="32"/>
      <c r="E668" s="32" t="s">
        <v>36</v>
      </c>
      <c r="F668" s="33" t="s">
        <v>256</v>
      </c>
      <c r="G668" s="32"/>
      <c r="H668" s="32" t="str">
        <f>IF(LEFT('PL1(Full)'!$F668,4)="Thôn","Thôn","Tổ")</f>
        <v>Thôn</v>
      </c>
      <c r="I668" s="35">
        <v>59</v>
      </c>
      <c r="J668" s="36">
        <v>264</v>
      </c>
      <c r="K668" s="36">
        <v>51</v>
      </c>
      <c r="L668" s="37">
        <f t="shared" si="0"/>
        <v>86.440677966101688</v>
      </c>
      <c r="M668" s="36">
        <v>11</v>
      </c>
      <c r="N668" s="38">
        <f t="shared" si="1"/>
        <v>18.64406779661017</v>
      </c>
      <c r="O668" s="36">
        <v>11</v>
      </c>
      <c r="P668" s="38">
        <f t="shared" si="2"/>
        <v>100</v>
      </c>
      <c r="Q668" s="39" t="s">
        <v>56</v>
      </c>
      <c r="R668" s="39" t="str">
        <f t="shared" si="3"/>
        <v>X</v>
      </c>
      <c r="S668" s="34" t="s">
        <v>60</v>
      </c>
      <c r="T668" s="34" t="str">
        <f>IF('PL1(Full)'!$N668&gt;=20,"x",IF(AND('PL1(Full)'!$N668&gt;=15,'PL1(Full)'!$P668&gt;60),"x",""))</f>
        <v>x</v>
      </c>
      <c r="U668" s="34" t="str">
        <f>IF(AND('PL1(Full)'!$H668="Thôn",'PL1(Full)'!$I668&lt;75),"x",IF(AND('PL1(Full)'!$H668="Tổ",'PL1(Full)'!$I668&lt;100),"x","-"))</f>
        <v>x</v>
      </c>
      <c r="V668" s="34" t="str">
        <f>IF(AND('PL1(Full)'!$H668="Thôn",'PL1(Full)'!$I668&lt;140),"x",IF(AND('PL1(Full)'!$H668="Tổ",'PL1(Full)'!$I668&lt;210),"x","-"))</f>
        <v>x</v>
      </c>
      <c r="W668" s="40" t="str">
        <f t="shared" si="114"/>
        <v>Loại 3</v>
      </c>
      <c r="X668" s="34"/>
    </row>
    <row r="669" spans="1:24" ht="15.75" customHeight="1">
      <c r="A669" s="30">
        <f>_xlfn.AGGREGATE(4,7,A$6:A668)+1</f>
        <v>465</v>
      </c>
      <c r="B669" s="31" t="str">
        <f t="shared" si="113"/>
        <v>H. Chợ Mới</v>
      </c>
      <c r="C669" s="31" t="str">
        <f t="shared" si="124"/>
        <v>X. Thanh Thịnh</v>
      </c>
      <c r="D669" s="32"/>
      <c r="E669" s="32" t="s">
        <v>36</v>
      </c>
      <c r="F669" s="33" t="s">
        <v>749</v>
      </c>
      <c r="G669" s="32"/>
      <c r="H669" s="32" t="str">
        <f>IF(LEFT('PL1(Full)'!$F669,4)="Thôn","Thôn","Tổ")</f>
        <v>Thôn</v>
      </c>
      <c r="I669" s="35">
        <v>69</v>
      </c>
      <c r="J669" s="36">
        <v>233</v>
      </c>
      <c r="K669" s="36">
        <v>42</v>
      </c>
      <c r="L669" s="37">
        <f t="shared" si="0"/>
        <v>60.869565217391305</v>
      </c>
      <c r="M669" s="36">
        <v>2</v>
      </c>
      <c r="N669" s="38">
        <f t="shared" si="1"/>
        <v>2.8985507246376812</v>
      </c>
      <c r="O669" s="36">
        <v>2</v>
      </c>
      <c r="P669" s="38">
        <f t="shared" si="2"/>
        <v>100</v>
      </c>
      <c r="Q669" s="39" t="s">
        <v>63</v>
      </c>
      <c r="R669" s="39" t="str">
        <f t="shared" si="3"/>
        <v>X</v>
      </c>
      <c r="S669" s="34"/>
      <c r="T669" s="34" t="str">
        <f>IF('PL1(Full)'!$N669&gt;=20,"x",IF(AND('PL1(Full)'!$N669&gt;=15,'PL1(Full)'!$P669&gt;60),"x",""))</f>
        <v/>
      </c>
      <c r="U669" s="34" t="str">
        <f>IF(AND('PL1(Full)'!$H669="Thôn",'PL1(Full)'!$I669&lt;75),"x",IF(AND('PL1(Full)'!$H669="Tổ",'PL1(Full)'!$I669&lt;100),"x","-"))</f>
        <v>x</v>
      </c>
      <c r="V669" s="34" t="str">
        <f>IF(AND('PL1(Full)'!$H669="Thôn",'PL1(Full)'!$I669&lt;140),"x",IF(AND('PL1(Full)'!$H669="Tổ",'PL1(Full)'!$I669&lt;210),"x","-"))</f>
        <v>x</v>
      </c>
      <c r="W669" s="40" t="str">
        <f t="shared" si="114"/>
        <v>Loại 3</v>
      </c>
      <c r="X669" s="34"/>
    </row>
    <row r="670" spans="1:24" ht="15.75" customHeight="1">
      <c r="A670" s="30">
        <f>_xlfn.AGGREGATE(4,7,A$6:A669)+1</f>
        <v>466</v>
      </c>
      <c r="B670" s="31" t="str">
        <f t="shared" si="113"/>
        <v>H. Chợ Mới</v>
      </c>
      <c r="C670" s="31" t="str">
        <f t="shared" si="124"/>
        <v>X. Thanh Thịnh</v>
      </c>
      <c r="D670" s="32"/>
      <c r="E670" s="32" t="s">
        <v>36</v>
      </c>
      <c r="F670" s="33" t="s">
        <v>750</v>
      </c>
      <c r="G670" s="32"/>
      <c r="H670" s="32" t="str">
        <f>IF(LEFT('PL1(Full)'!$F670,4)="Thôn","Thôn","Tổ")</f>
        <v>Thôn</v>
      </c>
      <c r="I670" s="35">
        <v>56</v>
      </c>
      <c r="J670" s="36">
        <v>248</v>
      </c>
      <c r="K670" s="36">
        <v>47</v>
      </c>
      <c r="L670" s="37">
        <f t="shared" si="0"/>
        <v>83.928571428571431</v>
      </c>
      <c r="M670" s="36">
        <v>10</v>
      </c>
      <c r="N670" s="38">
        <f t="shared" si="1"/>
        <v>17.857142857142858</v>
      </c>
      <c r="O670" s="36">
        <v>9</v>
      </c>
      <c r="P670" s="38">
        <f t="shared" si="2"/>
        <v>90</v>
      </c>
      <c r="Q670" s="39" t="s">
        <v>56</v>
      </c>
      <c r="R670" s="39" t="str">
        <f t="shared" si="3"/>
        <v>X</v>
      </c>
      <c r="S670" s="34" t="s">
        <v>60</v>
      </c>
      <c r="T670" s="34" t="str">
        <f>IF('PL1(Full)'!$N670&gt;=20,"x",IF(AND('PL1(Full)'!$N670&gt;=15,'PL1(Full)'!$P670&gt;60),"x",""))</f>
        <v>x</v>
      </c>
      <c r="U670" s="34" t="str">
        <f>IF(AND('PL1(Full)'!$H670="Thôn",'PL1(Full)'!$I670&lt;75),"x",IF(AND('PL1(Full)'!$H670="Tổ",'PL1(Full)'!$I670&lt;100),"x","-"))</f>
        <v>x</v>
      </c>
      <c r="V670" s="34" t="str">
        <f>IF(AND('PL1(Full)'!$H670="Thôn",'PL1(Full)'!$I670&lt;140),"x",IF(AND('PL1(Full)'!$H670="Tổ",'PL1(Full)'!$I670&lt;210),"x","-"))</f>
        <v>x</v>
      </c>
      <c r="W670" s="40" t="str">
        <f t="shared" si="114"/>
        <v>Loại 3</v>
      </c>
      <c r="X670" s="34"/>
    </row>
    <row r="671" spans="1:24" ht="15.75" customHeight="1">
      <c r="A671" s="41">
        <f>_xlfn.AGGREGATE(4,7,A$6:A670)+1</f>
        <v>467</v>
      </c>
      <c r="B671" s="42" t="str">
        <f t="shared" si="113"/>
        <v>H. Chợ Mới</v>
      </c>
      <c r="C671" s="42" t="str">
        <f t="shared" si="124"/>
        <v>X. Thanh Thịnh</v>
      </c>
      <c r="D671" s="43"/>
      <c r="E671" s="43" t="s">
        <v>36</v>
      </c>
      <c r="F671" s="44" t="s">
        <v>751</v>
      </c>
      <c r="G671" s="43"/>
      <c r="H671" s="43" t="str">
        <f>IF(LEFT('PL1(Full)'!$F671,4)="Thôn","Thôn","Tổ")</f>
        <v>Thôn</v>
      </c>
      <c r="I671" s="45">
        <v>61</v>
      </c>
      <c r="J671" s="46">
        <v>258</v>
      </c>
      <c r="K671" s="46">
        <v>54</v>
      </c>
      <c r="L671" s="47">
        <f t="shared" si="0"/>
        <v>88.52459016393442</v>
      </c>
      <c r="M671" s="46">
        <v>3</v>
      </c>
      <c r="N671" s="48">
        <f t="shared" si="1"/>
        <v>4.918032786885246</v>
      </c>
      <c r="O671" s="46">
        <v>2</v>
      </c>
      <c r="P671" s="48">
        <f t="shared" si="2"/>
        <v>66.666666666666671</v>
      </c>
      <c r="Q671" s="49" t="s">
        <v>56</v>
      </c>
      <c r="R671" s="49" t="str">
        <f t="shared" si="3"/>
        <v>X</v>
      </c>
      <c r="S671" s="50"/>
      <c r="T671" s="50" t="str">
        <f>IF('PL1(Full)'!$N671&gt;=20,"x",IF(AND('PL1(Full)'!$N671&gt;=15,'PL1(Full)'!$P671&gt;60),"x",""))</f>
        <v/>
      </c>
      <c r="U671" s="50" t="str">
        <f>IF(AND('PL1(Full)'!$H671="Thôn",'PL1(Full)'!$I671&lt;75),"x",IF(AND('PL1(Full)'!$H671="Tổ",'PL1(Full)'!$I671&lt;100),"x","-"))</f>
        <v>x</v>
      </c>
      <c r="V671" s="34" t="str">
        <f>IF(AND('PL1(Full)'!$H671="Thôn",'PL1(Full)'!$I671&lt;140),"x",IF(AND('PL1(Full)'!$H671="Tổ",'PL1(Full)'!$I671&lt;210),"x","-"))</f>
        <v>x</v>
      </c>
      <c r="W671" s="51" t="str">
        <f t="shared" si="114"/>
        <v>Loại 3</v>
      </c>
      <c r="X671" s="50"/>
    </row>
    <row r="672" spans="1:24" ht="15.75" hidden="1" customHeight="1">
      <c r="A672" s="52">
        <f>_xlfn.AGGREGATE(4,7,A$6:A671)+1</f>
        <v>468</v>
      </c>
      <c r="B672" s="14" t="str">
        <f t="shared" si="113"/>
        <v>H. Chợ Mới</v>
      </c>
      <c r="C672" s="14" t="s">
        <v>752</v>
      </c>
      <c r="D672" s="25" t="s">
        <v>102</v>
      </c>
      <c r="E672" s="25" t="s">
        <v>102</v>
      </c>
      <c r="F672" s="14" t="s">
        <v>753</v>
      </c>
      <c r="G672" s="25" t="s">
        <v>40</v>
      </c>
      <c r="H672" s="25" t="str">
        <f>IF(LEFT('PL1(Full)'!$F672,4)="Thôn","Thôn","Tổ")</f>
        <v>Thôn</v>
      </c>
      <c r="I672" s="20">
        <v>90</v>
      </c>
      <c r="J672" s="20">
        <v>357</v>
      </c>
      <c r="K672" s="20">
        <v>79</v>
      </c>
      <c r="L672" s="21">
        <f t="shared" si="0"/>
        <v>87.777777777777771</v>
      </c>
      <c r="M672" s="20">
        <v>8</v>
      </c>
      <c r="N672" s="22">
        <f t="shared" si="1"/>
        <v>8.8888888888888893</v>
      </c>
      <c r="O672" s="20">
        <v>6</v>
      </c>
      <c r="P672" s="22">
        <f t="shared" si="2"/>
        <v>75</v>
      </c>
      <c r="Q672" s="115" t="s">
        <v>158</v>
      </c>
      <c r="R672" s="115" t="str">
        <f t="shared" si="3"/>
        <v>X</v>
      </c>
      <c r="S672" s="116"/>
      <c r="T672" s="26" t="str">
        <f>IF('PL1(Full)'!$N672&gt;=20,"x",IF(AND('PL1(Full)'!$N672&gt;=15,'PL1(Full)'!$P672&gt;60),"x",""))</f>
        <v/>
      </c>
      <c r="U672" s="27" t="str">
        <f>IF(AND('PL1(Full)'!$H672="Thôn",'PL1(Full)'!$I672&lt;75),"x",IF(AND('PL1(Full)'!$H672="Tổ",'PL1(Full)'!$I672&lt;100),"x","-"))</f>
        <v>-</v>
      </c>
      <c r="V672" s="28" t="str">
        <f>IF(AND('PL1(Full)'!$H672="Thôn",'PL1(Full)'!$I672&lt;140),"x",IF(AND('PL1(Full)'!$H672="Tổ",'PL1(Full)'!$I672&lt;210),"x","-"))</f>
        <v>x</v>
      </c>
      <c r="W672" s="29" t="str">
        <f t="shared" si="114"/>
        <v>Loại 3</v>
      </c>
      <c r="X672" s="25"/>
    </row>
    <row r="673" spans="1:24" ht="15.75" hidden="1" customHeight="1">
      <c r="A673" s="30">
        <f>_xlfn.AGGREGATE(4,7,A$6:A672)+1</f>
        <v>468</v>
      </c>
      <c r="B673" s="31" t="str">
        <f t="shared" si="113"/>
        <v>H. Chợ Mới</v>
      </c>
      <c r="C673" s="31" t="str">
        <f t="shared" ref="C673:C678" si="125">C672</f>
        <v>X. Thanh Vận</v>
      </c>
      <c r="D673" s="34"/>
      <c r="E673" s="34" t="s">
        <v>102</v>
      </c>
      <c r="F673" s="31" t="s">
        <v>754</v>
      </c>
      <c r="G673" s="34" t="s">
        <v>40</v>
      </c>
      <c r="H673" s="34" t="str">
        <f>IF(LEFT('PL1(Full)'!$F673,4)="Thôn","Thôn","Tổ")</f>
        <v>Thôn</v>
      </c>
      <c r="I673" s="36">
        <v>106</v>
      </c>
      <c r="J673" s="36">
        <v>415</v>
      </c>
      <c r="K673" s="36">
        <v>95</v>
      </c>
      <c r="L673" s="37">
        <f t="shared" si="0"/>
        <v>89.622641509433961</v>
      </c>
      <c r="M673" s="36">
        <v>9</v>
      </c>
      <c r="N673" s="38">
        <f t="shared" si="1"/>
        <v>8.4905660377358494</v>
      </c>
      <c r="O673" s="36">
        <v>8</v>
      </c>
      <c r="P673" s="38">
        <f t="shared" si="2"/>
        <v>88.888888888888886</v>
      </c>
      <c r="Q673" s="104" t="s">
        <v>56</v>
      </c>
      <c r="R673" s="104" t="str">
        <f t="shared" si="3"/>
        <v>X</v>
      </c>
      <c r="S673" s="105"/>
      <c r="T673" s="34" t="str">
        <f>IF('PL1(Full)'!$N673&gt;=20,"x",IF(AND('PL1(Full)'!$N673&gt;=15,'PL1(Full)'!$P673&gt;60),"x",""))</f>
        <v/>
      </c>
      <c r="U673" s="34" t="str">
        <f>IF(AND('PL1(Full)'!$H673="Thôn",'PL1(Full)'!$I673&lt;75),"x",IF(AND('PL1(Full)'!$H673="Tổ",'PL1(Full)'!$I673&lt;100),"x","-"))</f>
        <v>-</v>
      </c>
      <c r="V673" s="34" t="str">
        <f>IF(AND('PL1(Full)'!$H673="Thôn",'PL1(Full)'!$I673&lt;140),"x",IF(AND('PL1(Full)'!$H673="Tổ",'PL1(Full)'!$I673&lt;210),"x","-"))</f>
        <v>x</v>
      </c>
      <c r="W673" s="40" t="str">
        <f t="shared" si="114"/>
        <v>Loại 2</v>
      </c>
      <c r="X673" s="34"/>
    </row>
    <row r="674" spans="1:24" ht="15.75" hidden="1" customHeight="1">
      <c r="A674" s="30">
        <f>_xlfn.AGGREGATE(4,7,A$6:A673)+1</f>
        <v>468</v>
      </c>
      <c r="B674" s="31" t="str">
        <f t="shared" si="113"/>
        <v>H. Chợ Mới</v>
      </c>
      <c r="C674" s="31" t="str">
        <f t="shared" si="125"/>
        <v>X. Thanh Vận</v>
      </c>
      <c r="D674" s="34"/>
      <c r="E674" s="34" t="s">
        <v>102</v>
      </c>
      <c r="F674" s="31" t="s">
        <v>502</v>
      </c>
      <c r="G674" s="34"/>
      <c r="H674" s="34" t="str">
        <f>IF(LEFT('PL1(Full)'!$F674,4)="Thôn","Thôn","Tổ")</f>
        <v>Thôn</v>
      </c>
      <c r="I674" s="36">
        <v>81</v>
      </c>
      <c r="J674" s="36">
        <v>354</v>
      </c>
      <c r="K674" s="36">
        <v>75</v>
      </c>
      <c r="L674" s="37">
        <f t="shared" si="0"/>
        <v>92.592592592592595</v>
      </c>
      <c r="M674" s="36">
        <v>7</v>
      </c>
      <c r="N674" s="38">
        <f t="shared" si="1"/>
        <v>8.6419753086419746</v>
      </c>
      <c r="O674" s="36">
        <v>7</v>
      </c>
      <c r="P674" s="38">
        <f t="shared" si="2"/>
        <v>100</v>
      </c>
      <c r="Q674" s="104" t="s">
        <v>49</v>
      </c>
      <c r="R674" s="104" t="str">
        <f t="shared" si="3"/>
        <v>X</v>
      </c>
      <c r="S674" s="105"/>
      <c r="T674" s="34" t="str">
        <f>IF('PL1(Full)'!$N674&gt;=20,"x",IF(AND('PL1(Full)'!$N674&gt;=15,'PL1(Full)'!$P674&gt;60),"x",""))</f>
        <v/>
      </c>
      <c r="U674" s="34" t="str">
        <f>IF(AND('PL1(Full)'!$H674="Thôn",'PL1(Full)'!$I674&lt;75),"x",IF(AND('PL1(Full)'!$H674="Tổ",'PL1(Full)'!$I674&lt;100),"x","-"))</f>
        <v>-</v>
      </c>
      <c r="V674" s="34" t="str">
        <f>IF(AND('PL1(Full)'!$H674="Thôn",'PL1(Full)'!$I674&lt;140),"x",IF(AND('PL1(Full)'!$H674="Tổ",'PL1(Full)'!$I674&lt;210),"x","-"))</f>
        <v>x</v>
      </c>
      <c r="W674" s="40" t="str">
        <f t="shared" si="114"/>
        <v>Loại 3</v>
      </c>
      <c r="X674" s="34"/>
    </row>
    <row r="675" spans="1:24" ht="15.75" customHeight="1">
      <c r="A675" s="30">
        <f>_xlfn.AGGREGATE(4,7,A$6:A674)+1</f>
        <v>468</v>
      </c>
      <c r="B675" s="31" t="str">
        <f t="shared" si="113"/>
        <v>H. Chợ Mới</v>
      </c>
      <c r="C675" s="31" t="str">
        <f t="shared" si="125"/>
        <v>X. Thanh Vận</v>
      </c>
      <c r="D675" s="34"/>
      <c r="E675" s="34" t="s">
        <v>102</v>
      </c>
      <c r="F675" s="31" t="s">
        <v>755</v>
      </c>
      <c r="G675" s="34"/>
      <c r="H675" s="34" t="str">
        <f>IF(LEFT('PL1(Full)'!$F675,4)="Thôn","Thôn","Tổ")</f>
        <v>Thôn</v>
      </c>
      <c r="I675" s="36">
        <v>66</v>
      </c>
      <c r="J675" s="36">
        <v>281</v>
      </c>
      <c r="K675" s="36">
        <v>63</v>
      </c>
      <c r="L675" s="37">
        <f t="shared" si="0"/>
        <v>95.454545454545453</v>
      </c>
      <c r="M675" s="36">
        <v>10</v>
      </c>
      <c r="N675" s="38">
        <f t="shared" si="1"/>
        <v>15.151515151515152</v>
      </c>
      <c r="O675" s="36">
        <v>10</v>
      </c>
      <c r="P675" s="38">
        <f t="shared" si="2"/>
        <v>100</v>
      </c>
      <c r="Q675" s="39" t="s">
        <v>56</v>
      </c>
      <c r="R675" s="39" t="str">
        <f t="shared" si="3"/>
        <v>X</v>
      </c>
      <c r="S675" s="34" t="s">
        <v>60</v>
      </c>
      <c r="T675" s="34" t="str">
        <f>IF('PL1(Full)'!$N675&gt;=20,"x",IF(AND('PL1(Full)'!$N675&gt;=15,'PL1(Full)'!$P675&gt;60),"x",""))</f>
        <v>x</v>
      </c>
      <c r="U675" s="34" t="str">
        <f>IF(AND('PL1(Full)'!$H675="Thôn",'PL1(Full)'!$I675&lt;75),"x",IF(AND('PL1(Full)'!$H675="Tổ",'PL1(Full)'!$I675&lt;100),"x","-"))</f>
        <v>x</v>
      </c>
      <c r="V675" s="34" t="str">
        <f>IF(AND('PL1(Full)'!$H675="Thôn",'PL1(Full)'!$I675&lt;140),"x",IF(AND('PL1(Full)'!$H675="Tổ",'PL1(Full)'!$I675&lt;210),"x","-"))</f>
        <v>x</v>
      </c>
      <c r="W675" s="40" t="str">
        <f t="shared" si="114"/>
        <v>Loại 3</v>
      </c>
      <c r="X675" s="34"/>
    </row>
    <row r="676" spans="1:24" ht="15.75" hidden="1" customHeight="1">
      <c r="A676" s="30">
        <f>_xlfn.AGGREGATE(4,7,A$6:A675)+1</f>
        <v>469</v>
      </c>
      <c r="B676" s="31" t="str">
        <f t="shared" si="113"/>
        <v>H. Chợ Mới</v>
      </c>
      <c r="C676" s="31" t="str">
        <f t="shared" si="125"/>
        <v>X. Thanh Vận</v>
      </c>
      <c r="D676" s="34"/>
      <c r="E676" s="34" t="s">
        <v>102</v>
      </c>
      <c r="F676" s="31" t="s">
        <v>756</v>
      </c>
      <c r="G676" s="34"/>
      <c r="H676" s="34" t="str">
        <f>IF(LEFT('PL1(Full)'!$F676,4)="Thôn","Thôn","Tổ")</f>
        <v>Thôn</v>
      </c>
      <c r="I676" s="36">
        <v>76</v>
      </c>
      <c r="J676" s="36">
        <v>310</v>
      </c>
      <c r="K676" s="36">
        <v>73</v>
      </c>
      <c r="L676" s="37">
        <f t="shared" si="0"/>
        <v>96.05263157894737</v>
      </c>
      <c r="M676" s="36">
        <v>9</v>
      </c>
      <c r="N676" s="38">
        <f t="shared" si="1"/>
        <v>11.842105263157896</v>
      </c>
      <c r="O676" s="36">
        <v>9</v>
      </c>
      <c r="P676" s="38">
        <f t="shared" si="2"/>
        <v>100</v>
      </c>
      <c r="Q676" s="39" t="s">
        <v>56</v>
      </c>
      <c r="R676" s="39" t="str">
        <f t="shared" si="3"/>
        <v>X</v>
      </c>
      <c r="S676" s="34"/>
      <c r="T676" s="34" t="str">
        <f>IF('PL1(Full)'!$N676&gt;=20,"x",IF(AND('PL1(Full)'!$N676&gt;=15,'PL1(Full)'!$P676&gt;60),"x",""))</f>
        <v/>
      </c>
      <c r="U676" s="34" t="str">
        <f>IF(AND('PL1(Full)'!$H676="Thôn",'PL1(Full)'!$I676&lt;75),"x",IF(AND('PL1(Full)'!$H676="Tổ",'PL1(Full)'!$I676&lt;100),"x","-"))</f>
        <v>-</v>
      </c>
      <c r="V676" s="34" t="str">
        <f>IF(AND('PL1(Full)'!$H676="Thôn",'PL1(Full)'!$I676&lt;140),"x",IF(AND('PL1(Full)'!$H676="Tổ",'PL1(Full)'!$I676&lt;210),"x","-"))</f>
        <v>x</v>
      </c>
      <c r="W676" s="40" t="str">
        <f t="shared" si="114"/>
        <v>Loại 3</v>
      </c>
      <c r="X676" s="34"/>
    </row>
    <row r="677" spans="1:24" ht="15.75" customHeight="1">
      <c r="A677" s="30">
        <f>_xlfn.AGGREGATE(4,7,A$6:A676)+1</f>
        <v>469</v>
      </c>
      <c r="B677" s="31" t="str">
        <f t="shared" si="113"/>
        <v>H. Chợ Mới</v>
      </c>
      <c r="C677" s="31" t="str">
        <f t="shared" si="125"/>
        <v>X. Thanh Vận</v>
      </c>
      <c r="D677" s="34"/>
      <c r="E677" s="34" t="s">
        <v>102</v>
      </c>
      <c r="F677" s="31" t="s">
        <v>757</v>
      </c>
      <c r="G677" s="34"/>
      <c r="H677" s="34" t="str">
        <f>IF(LEFT('PL1(Full)'!$F677,4)="Thôn","Thôn","Tổ")</f>
        <v>Thôn</v>
      </c>
      <c r="I677" s="36">
        <v>73</v>
      </c>
      <c r="J677" s="36">
        <v>319</v>
      </c>
      <c r="K677" s="36">
        <v>70</v>
      </c>
      <c r="L677" s="37">
        <f t="shared" si="0"/>
        <v>95.890410958904113</v>
      </c>
      <c r="M677" s="36">
        <v>4</v>
      </c>
      <c r="N677" s="38">
        <f t="shared" si="1"/>
        <v>5.4794520547945202</v>
      </c>
      <c r="O677" s="36">
        <v>44</v>
      </c>
      <c r="P677" s="38">
        <f t="shared" si="2"/>
        <v>1100</v>
      </c>
      <c r="Q677" s="39" t="s">
        <v>56</v>
      </c>
      <c r="R677" s="39" t="str">
        <f t="shared" si="3"/>
        <v>X</v>
      </c>
      <c r="S677" s="34"/>
      <c r="T677" s="34" t="str">
        <f>IF('PL1(Full)'!$N677&gt;=20,"x",IF(AND('PL1(Full)'!$N677&gt;=15,'PL1(Full)'!$P677&gt;60),"x",""))</f>
        <v/>
      </c>
      <c r="U677" s="34" t="str">
        <f>IF(AND('PL1(Full)'!$H677="Thôn",'PL1(Full)'!$I677&lt;75),"x",IF(AND('PL1(Full)'!$H677="Tổ",'PL1(Full)'!$I677&lt;100),"x","-"))</f>
        <v>x</v>
      </c>
      <c r="V677" s="34" t="str">
        <f>IF(AND('PL1(Full)'!$H677="Thôn",'PL1(Full)'!$I677&lt;140),"x",IF(AND('PL1(Full)'!$H677="Tổ",'PL1(Full)'!$I677&lt;210),"x","-"))</f>
        <v>x</v>
      </c>
      <c r="W677" s="40" t="str">
        <f t="shared" si="114"/>
        <v>Loại 3</v>
      </c>
      <c r="X677" s="34"/>
    </row>
    <row r="678" spans="1:24" ht="15.75" hidden="1" customHeight="1">
      <c r="A678" s="41">
        <f>_xlfn.AGGREGATE(4,7,A$6:A677)+1</f>
        <v>470</v>
      </c>
      <c r="B678" s="42" t="str">
        <f t="shared" si="113"/>
        <v>H. Chợ Mới</v>
      </c>
      <c r="C678" s="42" t="str">
        <f t="shared" si="125"/>
        <v>X. Thanh Vận</v>
      </c>
      <c r="D678" s="50"/>
      <c r="E678" s="50" t="s">
        <v>102</v>
      </c>
      <c r="F678" s="42" t="s">
        <v>385</v>
      </c>
      <c r="G678" s="50" t="s">
        <v>40</v>
      </c>
      <c r="H678" s="50" t="str">
        <f>IF(LEFT('PL1(Full)'!$F678,4)="Thôn","Thôn","Tổ")</f>
        <v>Thôn</v>
      </c>
      <c r="I678" s="46">
        <v>101</v>
      </c>
      <c r="J678" s="46">
        <v>3396</v>
      </c>
      <c r="K678" s="46">
        <v>93</v>
      </c>
      <c r="L678" s="47">
        <f t="shared" si="0"/>
        <v>92.079207920792072</v>
      </c>
      <c r="M678" s="46">
        <v>14</v>
      </c>
      <c r="N678" s="48">
        <f t="shared" si="1"/>
        <v>13.861386138613861</v>
      </c>
      <c r="O678" s="46">
        <v>12</v>
      </c>
      <c r="P678" s="48">
        <f t="shared" si="2"/>
        <v>85.714285714285708</v>
      </c>
      <c r="Q678" s="117" t="s">
        <v>43</v>
      </c>
      <c r="R678" s="117" t="str">
        <f t="shared" si="3"/>
        <v>X</v>
      </c>
      <c r="S678" s="118"/>
      <c r="T678" s="50" t="str">
        <f>IF('PL1(Full)'!$N678&gt;=20,"x",IF(AND('PL1(Full)'!$N678&gt;=15,'PL1(Full)'!$P678&gt;60),"x",""))</f>
        <v/>
      </c>
      <c r="U678" s="50" t="str">
        <f>IF(AND('PL1(Full)'!$H678="Thôn",'PL1(Full)'!$I678&lt;75),"x",IF(AND('PL1(Full)'!$H678="Tổ",'PL1(Full)'!$I678&lt;100),"x","-"))</f>
        <v>-</v>
      </c>
      <c r="V678" s="50" t="str">
        <f>IF(AND('PL1(Full)'!$H678="Thôn",'PL1(Full)'!$I678&lt;140),"x",IF(AND('PL1(Full)'!$H678="Tổ",'PL1(Full)'!$I678&lt;210),"x","-"))</f>
        <v>x</v>
      </c>
      <c r="W678" s="51" t="str">
        <f t="shared" si="114"/>
        <v>Loại 2</v>
      </c>
      <c r="X678" s="50"/>
    </row>
    <row r="679" spans="1:24" ht="15.75" hidden="1" customHeight="1">
      <c r="A679" s="52">
        <f>_xlfn.AGGREGATE(4,7,A$6:A678)+1</f>
        <v>470</v>
      </c>
      <c r="B679" s="14" t="str">
        <f t="shared" si="113"/>
        <v>H. Chợ Mới</v>
      </c>
      <c r="C679" s="14" t="s">
        <v>758</v>
      </c>
      <c r="D679" s="25" t="s">
        <v>58</v>
      </c>
      <c r="E679" s="25" t="s">
        <v>58</v>
      </c>
      <c r="F679" s="14" t="s">
        <v>759</v>
      </c>
      <c r="G679" s="25"/>
      <c r="H679" s="25" t="str">
        <f>IF(LEFT('PL1(Full)'!$F679,4)="Thôn","Thôn","Tổ")</f>
        <v>Thôn</v>
      </c>
      <c r="I679" s="20">
        <v>81</v>
      </c>
      <c r="J679" s="20">
        <v>364</v>
      </c>
      <c r="K679" s="20">
        <v>81</v>
      </c>
      <c r="L679" s="21">
        <f t="shared" si="0"/>
        <v>100</v>
      </c>
      <c r="M679" s="20">
        <v>29</v>
      </c>
      <c r="N679" s="22">
        <f t="shared" si="1"/>
        <v>35.802469135802468</v>
      </c>
      <c r="O679" s="20">
        <v>29</v>
      </c>
      <c r="P679" s="22">
        <f t="shared" si="2"/>
        <v>100</v>
      </c>
      <c r="Q679" s="109" t="s">
        <v>43</v>
      </c>
      <c r="R679" s="109" t="str">
        <f t="shared" si="3"/>
        <v>X</v>
      </c>
      <c r="S679" s="110" t="s">
        <v>60</v>
      </c>
      <c r="T679" s="26" t="str">
        <f>IF('PL1(Full)'!$N679&gt;=20,"x",IF(AND('PL1(Full)'!$N679&gt;=15,'PL1(Full)'!$P679&gt;60),"x",""))</f>
        <v>x</v>
      </c>
      <c r="U679" s="27" t="str">
        <f>IF(AND('PL1(Full)'!$H679="Thôn",'PL1(Full)'!$I679&lt;75),"x",IF(AND('PL1(Full)'!$H679="Tổ",'PL1(Full)'!$I679&lt;100),"x","-"))</f>
        <v>-</v>
      </c>
      <c r="V679" s="28" t="str">
        <f>IF(AND('PL1(Full)'!$H679="Thôn",'PL1(Full)'!$I679&lt;140),"x",IF(AND('PL1(Full)'!$H679="Tổ",'PL1(Full)'!$I679&lt;210),"x","-"))</f>
        <v>x</v>
      </c>
      <c r="W679" s="29" t="str">
        <f t="shared" si="114"/>
        <v>Loại 3</v>
      </c>
      <c r="X679" s="25"/>
    </row>
    <row r="680" spans="1:24" ht="15.75" customHeight="1">
      <c r="A680" s="30">
        <f>_xlfn.AGGREGATE(4,7,A$6:A679)+1</f>
        <v>470</v>
      </c>
      <c r="B680" s="31" t="str">
        <f t="shared" si="113"/>
        <v>H. Chợ Mới</v>
      </c>
      <c r="C680" s="31" t="str">
        <f t="shared" ref="C680:C694" si="126">C679</f>
        <v>X. Yên Cư</v>
      </c>
      <c r="D680" s="34"/>
      <c r="E680" s="34" t="s">
        <v>58</v>
      </c>
      <c r="F680" s="31" t="s">
        <v>760</v>
      </c>
      <c r="G680" s="34"/>
      <c r="H680" s="34" t="str">
        <f>IF(LEFT('PL1(Full)'!$F680,4)="Thôn","Thôn","Tổ")</f>
        <v>Thôn</v>
      </c>
      <c r="I680" s="36">
        <v>59</v>
      </c>
      <c r="J680" s="36">
        <v>298</v>
      </c>
      <c r="K680" s="36">
        <v>59</v>
      </c>
      <c r="L680" s="37">
        <f t="shared" si="0"/>
        <v>100</v>
      </c>
      <c r="M680" s="36">
        <v>32</v>
      </c>
      <c r="N680" s="38">
        <f t="shared" si="1"/>
        <v>54.237288135593218</v>
      </c>
      <c r="O680" s="36">
        <v>32</v>
      </c>
      <c r="P680" s="38">
        <f t="shared" si="2"/>
        <v>100</v>
      </c>
      <c r="Q680" s="111" t="s">
        <v>43</v>
      </c>
      <c r="R680" s="111" t="str">
        <f t="shared" si="3"/>
        <v>X</v>
      </c>
      <c r="S680" s="112" t="s">
        <v>60</v>
      </c>
      <c r="T680" s="34" t="str">
        <f>IF('PL1(Full)'!$N680&gt;=20,"x",IF(AND('PL1(Full)'!$N680&gt;=15,'PL1(Full)'!$P680&gt;60),"x",""))</f>
        <v>x</v>
      </c>
      <c r="U680" s="34" t="str">
        <f>IF(AND('PL1(Full)'!$H680="Thôn",'PL1(Full)'!$I680&lt;75),"x",IF(AND('PL1(Full)'!$H680="Tổ",'PL1(Full)'!$I680&lt;100),"x","-"))</f>
        <v>x</v>
      </c>
      <c r="V680" s="34" t="str">
        <f>IF(AND('PL1(Full)'!$H680="Thôn",'PL1(Full)'!$I680&lt;140),"x",IF(AND('PL1(Full)'!$H680="Tổ",'PL1(Full)'!$I680&lt;210),"x","-"))</f>
        <v>x</v>
      </c>
      <c r="W680" s="40" t="str">
        <f t="shared" si="114"/>
        <v>Loại 3</v>
      </c>
      <c r="X680" s="34"/>
    </row>
    <row r="681" spans="1:24" ht="15.75" hidden="1" customHeight="1">
      <c r="A681" s="30">
        <f>_xlfn.AGGREGATE(4,7,A$6:A680)+1</f>
        <v>471</v>
      </c>
      <c r="B681" s="31" t="str">
        <f t="shared" si="113"/>
        <v>H. Chợ Mới</v>
      </c>
      <c r="C681" s="31" t="str">
        <f t="shared" si="126"/>
        <v>X. Yên Cư</v>
      </c>
      <c r="D681" s="34"/>
      <c r="E681" s="34" t="s">
        <v>58</v>
      </c>
      <c r="F681" s="31" t="s">
        <v>761</v>
      </c>
      <c r="G681" s="34"/>
      <c r="H681" s="34" t="str">
        <f>IF(LEFT('PL1(Full)'!$F681,4)="Thôn","Thôn","Tổ")</f>
        <v>Thôn</v>
      </c>
      <c r="I681" s="36">
        <v>77</v>
      </c>
      <c r="J681" s="36">
        <v>294</v>
      </c>
      <c r="K681" s="36">
        <v>77</v>
      </c>
      <c r="L681" s="37">
        <f t="shared" si="0"/>
        <v>100</v>
      </c>
      <c r="M681" s="36">
        <v>39</v>
      </c>
      <c r="N681" s="38">
        <f t="shared" si="1"/>
        <v>50.649350649350652</v>
      </c>
      <c r="O681" s="36">
        <v>39</v>
      </c>
      <c r="P681" s="38">
        <f t="shared" si="2"/>
        <v>100</v>
      </c>
      <c r="Q681" s="111" t="s">
        <v>117</v>
      </c>
      <c r="R681" s="111" t="str">
        <f t="shared" si="3"/>
        <v>T</v>
      </c>
      <c r="S681" s="112" t="s">
        <v>60</v>
      </c>
      <c r="T681" s="34" t="str">
        <f>IF('PL1(Full)'!$N681&gt;=20,"x",IF(AND('PL1(Full)'!$N681&gt;=15,'PL1(Full)'!$P681&gt;60),"x",""))</f>
        <v>x</v>
      </c>
      <c r="U681" s="34" t="str">
        <f>IF(AND('PL1(Full)'!$H681="Thôn",'PL1(Full)'!$I681&lt;75),"x",IF(AND('PL1(Full)'!$H681="Tổ",'PL1(Full)'!$I681&lt;100),"x","-"))</f>
        <v>-</v>
      </c>
      <c r="V681" s="34" t="str">
        <f>IF(AND('PL1(Full)'!$H681="Thôn",'PL1(Full)'!$I681&lt;140),"x",IF(AND('PL1(Full)'!$H681="Tổ",'PL1(Full)'!$I681&lt;210),"x","-"))</f>
        <v>x</v>
      </c>
      <c r="W681" s="40" t="str">
        <f t="shared" si="114"/>
        <v>Loại 3</v>
      </c>
      <c r="X681" s="34"/>
    </row>
    <row r="682" spans="1:24" ht="15.75" customHeight="1">
      <c r="A682" s="30">
        <f>_xlfn.AGGREGATE(4,7,A$6:A681)+1</f>
        <v>471</v>
      </c>
      <c r="B682" s="31" t="str">
        <f t="shared" si="113"/>
        <v>H. Chợ Mới</v>
      </c>
      <c r="C682" s="31" t="str">
        <f t="shared" si="126"/>
        <v>X. Yên Cư</v>
      </c>
      <c r="D682" s="34"/>
      <c r="E682" s="34" t="s">
        <v>58</v>
      </c>
      <c r="F682" s="31" t="s">
        <v>762</v>
      </c>
      <c r="G682" s="34"/>
      <c r="H682" s="34" t="str">
        <f>IF(LEFT('PL1(Full)'!$F682,4)="Thôn","Thôn","Tổ")</f>
        <v>Thôn</v>
      </c>
      <c r="I682" s="36">
        <v>39</v>
      </c>
      <c r="J682" s="36">
        <v>162</v>
      </c>
      <c r="K682" s="36">
        <v>39</v>
      </c>
      <c r="L682" s="37">
        <f t="shared" si="0"/>
        <v>100</v>
      </c>
      <c r="M682" s="36">
        <v>9</v>
      </c>
      <c r="N682" s="38">
        <f t="shared" si="1"/>
        <v>23.076923076923077</v>
      </c>
      <c r="O682" s="36">
        <v>9</v>
      </c>
      <c r="P682" s="38">
        <f t="shared" si="2"/>
        <v>100</v>
      </c>
      <c r="Q682" s="111" t="s">
        <v>117</v>
      </c>
      <c r="R682" s="111" t="str">
        <f t="shared" si="3"/>
        <v>T</v>
      </c>
      <c r="S682" s="112"/>
      <c r="T682" s="34" t="str">
        <f>IF('PL1(Full)'!$N682&gt;=20,"x",IF(AND('PL1(Full)'!$N682&gt;=15,'PL1(Full)'!$P682&gt;60),"x",""))</f>
        <v>x</v>
      </c>
      <c r="U682" s="34" t="str">
        <f>IF(AND('PL1(Full)'!$H682="Thôn",'PL1(Full)'!$I682&lt;75),"x",IF(AND('PL1(Full)'!$H682="Tổ",'PL1(Full)'!$I682&lt;100),"x","-"))</f>
        <v>x</v>
      </c>
      <c r="V682" s="34" t="str">
        <f>IF(AND('PL1(Full)'!$H682="Thôn",'PL1(Full)'!$I682&lt;140),"x",IF(AND('PL1(Full)'!$H682="Tổ",'PL1(Full)'!$I682&lt;210),"x","-"))</f>
        <v>x</v>
      </c>
      <c r="W682" s="40" t="str">
        <f t="shared" si="114"/>
        <v>Loại 3</v>
      </c>
      <c r="X682" s="34"/>
    </row>
    <row r="683" spans="1:24" ht="15.75" customHeight="1">
      <c r="A683" s="30">
        <f>_xlfn.AGGREGATE(4,7,A$6:A682)+1</f>
        <v>472</v>
      </c>
      <c r="B683" s="31" t="str">
        <f t="shared" si="113"/>
        <v>H. Chợ Mới</v>
      </c>
      <c r="C683" s="31" t="str">
        <f t="shared" si="126"/>
        <v>X. Yên Cư</v>
      </c>
      <c r="D683" s="34"/>
      <c r="E683" s="34" t="s">
        <v>58</v>
      </c>
      <c r="F683" s="31" t="s">
        <v>763</v>
      </c>
      <c r="G683" s="34"/>
      <c r="H683" s="34" t="str">
        <f>IF(LEFT('PL1(Full)'!$F683,4)="Thôn","Thôn","Tổ")</f>
        <v>Thôn</v>
      </c>
      <c r="I683" s="36">
        <v>48</v>
      </c>
      <c r="J683" s="36">
        <v>192</v>
      </c>
      <c r="K683" s="36">
        <v>46</v>
      </c>
      <c r="L683" s="37">
        <f t="shared" si="0"/>
        <v>95.833333333333329</v>
      </c>
      <c r="M683" s="36">
        <v>3</v>
      </c>
      <c r="N683" s="38">
        <f t="shared" si="1"/>
        <v>6.25</v>
      </c>
      <c r="O683" s="36">
        <v>3</v>
      </c>
      <c r="P683" s="38">
        <f t="shared" si="2"/>
        <v>100</v>
      </c>
      <c r="Q683" s="111" t="s">
        <v>117</v>
      </c>
      <c r="R683" s="111" t="str">
        <f t="shared" si="3"/>
        <v>T</v>
      </c>
      <c r="S683" s="112"/>
      <c r="T683" s="34" t="str">
        <f>IF('PL1(Full)'!$N683&gt;=20,"x",IF(AND('PL1(Full)'!$N683&gt;=15,'PL1(Full)'!$P683&gt;60),"x",""))</f>
        <v/>
      </c>
      <c r="U683" s="34" t="str">
        <f>IF(AND('PL1(Full)'!$H683="Thôn",'PL1(Full)'!$I683&lt;75),"x",IF(AND('PL1(Full)'!$H683="Tổ",'PL1(Full)'!$I683&lt;100),"x","-"))</f>
        <v>x</v>
      </c>
      <c r="V683" s="34" t="str">
        <f>IF(AND('PL1(Full)'!$H683="Thôn",'PL1(Full)'!$I683&lt;140),"x",IF(AND('PL1(Full)'!$H683="Tổ",'PL1(Full)'!$I683&lt;210),"x","-"))</f>
        <v>x</v>
      </c>
      <c r="W683" s="40" t="str">
        <f t="shared" si="114"/>
        <v>Loại 3</v>
      </c>
      <c r="X683" s="34"/>
    </row>
    <row r="684" spans="1:24" ht="15.75" customHeight="1">
      <c r="A684" s="30">
        <f>_xlfn.AGGREGATE(4,7,A$6:A683)+1</f>
        <v>473</v>
      </c>
      <c r="B684" s="31" t="str">
        <f t="shared" si="113"/>
        <v>H. Chợ Mới</v>
      </c>
      <c r="C684" s="31" t="str">
        <f t="shared" si="126"/>
        <v>X. Yên Cư</v>
      </c>
      <c r="D684" s="34"/>
      <c r="E684" s="34" t="s">
        <v>58</v>
      </c>
      <c r="F684" s="31" t="s">
        <v>764</v>
      </c>
      <c r="G684" s="34"/>
      <c r="H684" s="34" t="str">
        <f>IF(LEFT('PL1(Full)'!$F684,4)="Thôn","Thôn","Tổ")</f>
        <v>Thôn</v>
      </c>
      <c r="I684" s="36">
        <v>25</v>
      </c>
      <c r="J684" s="36">
        <v>110</v>
      </c>
      <c r="K684" s="36">
        <v>24</v>
      </c>
      <c r="L684" s="37">
        <f t="shared" si="0"/>
        <v>96</v>
      </c>
      <c r="M684" s="36">
        <v>4</v>
      </c>
      <c r="N684" s="38">
        <f t="shared" si="1"/>
        <v>16</v>
      </c>
      <c r="O684" s="36">
        <v>4</v>
      </c>
      <c r="P684" s="38">
        <f t="shared" si="2"/>
        <v>100</v>
      </c>
      <c r="Q684" s="111" t="s">
        <v>117</v>
      </c>
      <c r="R684" s="111" t="str">
        <f t="shared" si="3"/>
        <v>T</v>
      </c>
      <c r="S684" s="112" t="s">
        <v>60</v>
      </c>
      <c r="T684" s="34" t="str">
        <f>IF('PL1(Full)'!$N684&gt;=20,"x",IF(AND('PL1(Full)'!$N684&gt;=15,'PL1(Full)'!$P684&gt;60),"x",""))</f>
        <v>x</v>
      </c>
      <c r="U684" s="34" t="str">
        <f>IF(AND('PL1(Full)'!$H684="Thôn",'PL1(Full)'!$I684&lt;75),"x",IF(AND('PL1(Full)'!$H684="Tổ",'PL1(Full)'!$I684&lt;100),"x","-"))</f>
        <v>x</v>
      </c>
      <c r="V684" s="34" t="str">
        <f>IF(AND('PL1(Full)'!$H684="Thôn",'PL1(Full)'!$I684&lt;140),"x",IF(AND('PL1(Full)'!$H684="Tổ",'PL1(Full)'!$I684&lt;210),"x","-"))</f>
        <v>x</v>
      </c>
      <c r="W684" s="40" t="str">
        <f t="shared" si="114"/>
        <v>Loại 3</v>
      </c>
      <c r="X684" s="34"/>
    </row>
    <row r="685" spans="1:24" ht="15.75" customHeight="1">
      <c r="A685" s="30">
        <f>_xlfn.AGGREGATE(4,7,A$6:A684)+1</f>
        <v>474</v>
      </c>
      <c r="B685" s="31" t="str">
        <f t="shared" si="113"/>
        <v>H. Chợ Mới</v>
      </c>
      <c r="C685" s="31" t="str">
        <f t="shared" si="126"/>
        <v>X. Yên Cư</v>
      </c>
      <c r="D685" s="34"/>
      <c r="E685" s="34" t="s">
        <v>58</v>
      </c>
      <c r="F685" s="31" t="s">
        <v>765</v>
      </c>
      <c r="G685" s="34"/>
      <c r="H685" s="34" t="str">
        <f>IF(LEFT('PL1(Full)'!$F685,4)="Thôn","Thôn","Tổ")</f>
        <v>Thôn</v>
      </c>
      <c r="I685" s="36">
        <v>54</v>
      </c>
      <c r="J685" s="36">
        <v>214</v>
      </c>
      <c r="K685" s="36">
        <v>54</v>
      </c>
      <c r="L685" s="37">
        <f t="shared" si="0"/>
        <v>100</v>
      </c>
      <c r="M685" s="36">
        <v>8</v>
      </c>
      <c r="N685" s="38">
        <f t="shared" si="1"/>
        <v>14.814814814814815</v>
      </c>
      <c r="O685" s="36">
        <v>8</v>
      </c>
      <c r="P685" s="38">
        <f t="shared" si="2"/>
        <v>100</v>
      </c>
      <c r="Q685" s="111" t="s">
        <v>117</v>
      </c>
      <c r="R685" s="111" t="str">
        <f t="shared" si="3"/>
        <v>T</v>
      </c>
      <c r="S685" s="112" t="s">
        <v>60</v>
      </c>
      <c r="T685" s="34" t="str">
        <f>IF('PL1(Full)'!$N685&gt;=20,"x",IF(AND('PL1(Full)'!$N685&gt;=15,'PL1(Full)'!$P685&gt;60),"x",""))</f>
        <v/>
      </c>
      <c r="U685" s="34" t="str">
        <f>IF(AND('PL1(Full)'!$H685="Thôn",'PL1(Full)'!$I685&lt;75),"x",IF(AND('PL1(Full)'!$H685="Tổ",'PL1(Full)'!$I685&lt;100),"x","-"))</f>
        <v>x</v>
      </c>
      <c r="V685" s="34" t="str">
        <f>IF(AND('PL1(Full)'!$H685="Thôn",'PL1(Full)'!$I685&lt;140),"x",IF(AND('PL1(Full)'!$H685="Tổ",'PL1(Full)'!$I685&lt;210),"x","-"))</f>
        <v>x</v>
      </c>
      <c r="W685" s="40" t="str">
        <f t="shared" si="114"/>
        <v>Loại 3</v>
      </c>
      <c r="X685" s="34"/>
    </row>
    <row r="686" spans="1:24" ht="15.75" customHeight="1">
      <c r="A686" s="30">
        <f>_xlfn.AGGREGATE(4,7,A$6:A685)+1</f>
        <v>475</v>
      </c>
      <c r="B686" s="31" t="str">
        <f t="shared" si="113"/>
        <v>H. Chợ Mới</v>
      </c>
      <c r="C686" s="31" t="str">
        <f t="shared" si="126"/>
        <v>X. Yên Cư</v>
      </c>
      <c r="D686" s="34"/>
      <c r="E686" s="34" t="s">
        <v>58</v>
      </c>
      <c r="F686" s="31" t="s">
        <v>766</v>
      </c>
      <c r="G686" s="34"/>
      <c r="H686" s="34" t="str">
        <f>IF(LEFT('PL1(Full)'!$F686,4)="Thôn","Thôn","Tổ")</f>
        <v>Thôn</v>
      </c>
      <c r="I686" s="36">
        <v>45</v>
      </c>
      <c r="J686" s="36">
        <v>184</v>
      </c>
      <c r="K686" s="36">
        <v>41</v>
      </c>
      <c r="L686" s="37">
        <f t="shared" si="0"/>
        <v>91.111111111111114</v>
      </c>
      <c r="M686" s="36">
        <v>6</v>
      </c>
      <c r="N686" s="38">
        <f t="shared" si="1"/>
        <v>13.333333333333334</v>
      </c>
      <c r="O686" s="36">
        <v>6</v>
      </c>
      <c r="P686" s="38">
        <f t="shared" si="2"/>
        <v>100</v>
      </c>
      <c r="Q686" s="111" t="s">
        <v>43</v>
      </c>
      <c r="R686" s="111" t="str">
        <f t="shared" si="3"/>
        <v>X</v>
      </c>
      <c r="S686" s="112" t="s">
        <v>60</v>
      </c>
      <c r="T686" s="34" t="str">
        <f>IF('PL1(Full)'!$N686&gt;=20,"x",IF(AND('PL1(Full)'!$N686&gt;=15,'PL1(Full)'!$P686&gt;60),"x",""))</f>
        <v/>
      </c>
      <c r="U686" s="34" t="str">
        <f>IF(AND('PL1(Full)'!$H686="Thôn",'PL1(Full)'!$I686&lt;75),"x",IF(AND('PL1(Full)'!$H686="Tổ",'PL1(Full)'!$I686&lt;100),"x","-"))</f>
        <v>x</v>
      </c>
      <c r="V686" s="34" t="str">
        <f>IF(AND('PL1(Full)'!$H686="Thôn",'PL1(Full)'!$I686&lt;140),"x",IF(AND('PL1(Full)'!$H686="Tổ",'PL1(Full)'!$I686&lt;210),"x","-"))</f>
        <v>x</v>
      </c>
      <c r="W686" s="40" t="str">
        <f t="shared" si="114"/>
        <v>Loại 3</v>
      </c>
      <c r="X686" s="34"/>
    </row>
    <row r="687" spans="1:24" ht="15.75" customHeight="1">
      <c r="A687" s="30">
        <f>_xlfn.AGGREGATE(4,7,A$6:A686)+1</f>
        <v>476</v>
      </c>
      <c r="B687" s="31" t="str">
        <f t="shared" si="113"/>
        <v>H. Chợ Mới</v>
      </c>
      <c r="C687" s="31" t="str">
        <f t="shared" si="126"/>
        <v>X. Yên Cư</v>
      </c>
      <c r="D687" s="34"/>
      <c r="E687" s="34" t="s">
        <v>58</v>
      </c>
      <c r="F687" s="31" t="s">
        <v>767</v>
      </c>
      <c r="G687" s="34"/>
      <c r="H687" s="34" t="str">
        <f>IF(LEFT('PL1(Full)'!$F687,4)="Thôn","Thôn","Tổ")</f>
        <v>Thôn</v>
      </c>
      <c r="I687" s="36">
        <v>37</v>
      </c>
      <c r="J687" s="36">
        <v>162</v>
      </c>
      <c r="K687" s="36">
        <v>36</v>
      </c>
      <c r="L687" s="37">
        <f t="shared" si="0"/>
        <v>97.297297297297291</v>
      </c>
      <c r="M687" s="36">
        <v>20</v>
      </c>
      <c r="N687" s="38">
        <f t="shared" si="1"/>
        <v>54.054054054054056</v>
      </c>
      <c r="O687" s="36">
        <v>19</v>
      </c>
      <c r="P687" s="38">
        <f t="shared" si="2"/>
        <v>95</v>
      </c>
      <c r="Q687" s="111" t="s">
        <v>43</v>
      </c>
      <c r="R687" s="111" t="str">
        <f t="shared" si="3"/>
        <v>X</v>
      </c>
      <c r="S687" s="112" t="s">
        <v>60</v>
      </c>
      <c r="T687" s="34" t="str">
        <f>IF('PL1(Full)'!$N687&gt;=20,"x",IF(AND('PL1(Full)'!$N687&gt;=15,'PL1(Full)'!$P687&gt;60),"x",""))</f>
        <v>x</v>
      </c>
      <c r="U687" s="34" t="str">
        <f>IF(AND('PL1(Full)'!$H687="Thôn",'PL1(Full)'!$I687&lt;75),"x",IF(AND('PL1(Full)'!$H687="Tổ",'PL1(Full)'!$I687&lt;100),"x","-"))</f>
        <v>x</v>
      </c>
      <c r="V687" s="34" t="str">
        <f>IF(AND('PL1(Full)'!$H687="Thôn",'PL1(Full)'!$I687&lt;140),"x",IF(AND('PL1(Full)'!$H687="Tổ",'PL1(Full)'!$I687&lt;210),"x","-"))</f>
        <v>x</v>
      </c>
      <c r="W687" s="40" t="str">
        <f t="shared" si="114"/>
        <v>Loại 3</v>
      </c>
      <c r="X687" s="34"/>
    </row>
    <row r="688" spans="1:24" ht="15.75" customHeight="1">
      <c r="A688" s="30">
        <f>_xlfn.AGGREGATE(4,7,A$6:A687)+1</f>
        <v>477</v>
      </c>
      <c r="B688" s="31" t="str">
        <f t="shared" si="113"/>
        <v>H. Chợ Mới</v>
      </c>
      <c r="C688" s="31" t="str">
        <f t="shared" si="126"/>
        <v>X. Yên Cư</v>
      </c>
      <c r="D688" s="34"/>
      <c r="E688" s="34" t="s">
        <v>58</v>
      </c>
      <c r="F688" s="31" t="s">
        <v>768</v>
      </c>
      <c r="G688" s="34"/>
      <c r="H688" s="34" t="str">
        <f>IF(LEFT('PL1(Full)'!$F688,4)="Thôn","Thôn","Tổ")</f>
        <v>Thôn</v>
      </c>
      <c r="I688" s="36">
        <v>37</v>
      </c>
      <c r="J688" s="36">
        <v>172</v>
      </c>
      <c r="K688" s="36">
        <v>37</v>
      </c>
      <c r="L688" s="37">
        <f t="shared" si="0"/>
        <v>100</v>
      </c>
      <c r="M688" s="36">
        <v>6</v>
      </c>
      <c r="N688" s="38">
        <f t="shared" si="1"/>
        <v>16.216216216216218</v>
      </c>
      <c r="O688" s="36">
        <v>6</v>
      </c>
      <c r="P688" s="38">
        <f t="shared" si="2"/>
        <v>100</v>
      </c>
      <c r="Q688" s="111" t="s">
        <v>43</v>
      </c>
      <c r="R688" s="111" t="str">
        <f t="shared" si="3"/>
        <v>X</v>
      </c>
      <c r="S688" s="112"/>
      <c r="T688" s="34" t="str">
        <f>IF('PL1(Full)'!$N688&gt;=20,"x",IF(AND('PL1(Full)'!$N688&gt;=15,'PL1(Full)'!$P688&gt;60),"x",""))</f>
        <v>x</v>
      </c>
      <c r="U688" s="34" t="str">
        <f>IF(AND('PL1(Full)'!$H688="Thôn",'PL1(Full)'!$I688&lt;75),"x",IF(AND('PL1(Full)'!$H688="Tổ",'PL1(Full)'!$I688&lt;100),"x","-"))</f>
        <v>x</v>
      </c>
      <c r="V688" s="34" t="str">
        <f>IF(AND('PL1(Full)'!$H688="Thôn",'PL1(Full)'!$I688&lt;140),"x",IF(AND('PL1(Full)'!$H688="Tổ",'PL1(Full)'!$I688&lt;210),"x","-"))</f>
        <v>x</v>
      </c>
      <c r="W688" s="40" t="str">
        <f t="shared" si="114"/>
        <v>Loại 3</v>
      </c>
      <c r="X688" s="34"/>
    </row>
    <row r="689" spans="1:24" ht="15.75" customHeight="1">
      <c r="A689" s="30">
        <f>_xlfn.AGGREGATE(4,7,A$6:A688)+1</f>
        <v>478</v>
      </c>
      <c r="B689" s="31" t="str">
        <f t="shared" si="113"/>
        <v>H. Chợ Mới</v>
      </c>
      <c r="C689" s="31" t="str">
        <f t="shared" si="126"/>
        <v>X. Yên Cư</v>
      </c>
      <c r="D689" s="34"/>
      <c r="E689" s="34" t="s">
        <v>58</v>
      </c>
      <c r="F689" s="31" t="s">
        <v>769</v>
      </c>
      <c r="G689" s="34"/>
      <c r="H689" s="34" t="str">
        <f>IF(LEFT('PL1(Full)'!$F689,4)="Thôn","Thôn","Tổ")</f>
        <v>Thôn</v>
      </c>
      <c r="I689" s="36">
        <v>35</v>
      </c>
      <c r="J689" s="36">
        <v>138</v>
      </c>
      <c r="K689" s="36">
        <v>35</v>
      </c>
      <c r="L689" s="37">
        <f t="shared" si="0"/>
        <v>100</v>
      </c>
      <c r="M689" s="36">
        <v>4</v>
      </c>
      <c r="N689" s="38">
        <f t="shared" si="1"/>
        <v>11.428571428571429</v>
      </c>
      <c r="O689" s="36">
        <v>4</v>
      </c>
      <c r="P689" s="38">
        <f t="shared" si="2"/>
        <v>100</v>
      </c>
      <c r="Q689" s="111" t="s">
        <v>43</v>
      </c>
      <c r="R689" s="111" t="str">
        <f t="shared" si="3"/>
        <v>X</v>
      </c>
      <c r="S689" s="112" t="s">
        <v>60</v>
      </c>
      <c r="T689" s="34" t="str">
        <f>IF('PL1(Full)'!$N689&gt;=20,"x",IF(AND('PL1(Full)'!$N689&gt;=15,'PL1(Full)'!$P689&gt;60),"x",""))</f>
        <v/>
      </c>
      <c r="U689" s="34" t="str">
        <f>IF(AND('PL1(Full)'!$H689="Thôn",'PL1(Full)'!$I689&lt;75),"x",IF(AND('PL1(Full)'!$H689="Tổ",'PL1(Full)'!$I689&lt;100),"x","-"))</f>
        <v>x</v>
      </c>
      <c r="V689" s="34" t="str">
        <f>IF(AND('PL1(Full)'!$H689="Thôn",'PL1(Full)'!$I689&lt;140),"x",IF(AND('PL1(Full)'!$H689="Tổ",'PL1(Full)'!$I689&lt;210),"x","-"))</f>
        <v>x</v>
      </c>
      <c r="W689" s="40" t="str">
        <f t="shared" si="114"/>
        <v>Loại 3</v>
      </c>
      <c r="X689" s="34"/>
    </row>
    <row r="690" spans="1:24" ht="15.75" customHeight="1">
      <c r="A690" s="30">
        <f>_xlfn.AGGREGATE(4,7,A$6:A689)+1</f>
        <v>479</v>
      </c>
      <c r="B690" s="31" t="str">
        <f t="shared" si="113"/>
        <v>H. Chợ Mới</v>
      </c>
      <c r="C690" s="31" t="str">
        <f t="shared" si="126"/>
        <v>X. Yên Cư</v>
      </c>
      <c r="D690" s="34"/>
      <c r="E690" s="34" t="s">
        <v>58</v>
      </c>
      <c r="F690" s="31" t="s">
        <v>770</v>
      </c>
      <c r="G690" s="34"/>
      <c r="H690" s="34" t="str">
        <f>IF(LEFT('PL1(Full)'!$F690,4)="Thôn","Thôn","Tổ")</f>
        <v>Thôn</v>
      </c>
      <c r="I690" s="36">
        <v>48</v>
      </c>
      <c r="J690" s="36">
        <v>194</v>
      </c>
      <c r="K690" s="36">
        <v>48</v>
      </c>
      <c r="L690" s="37">
        <f t="shared" si="0"/>
        <v>100</v>
      </c>
      <c r="M690" s="36">
        <v>7</v>
      </c>
      <c r="N690" s="38">
        <f t="shared" si="1"/>
        <v>14.583333333333334</v>
      </c>
      <c r="O690" s="36">
        <v>7</v>
      </c>
      <c r="P690" s="38">
        <f t="shared" si="2"/>
        <v>100</v>
      </c>
      <c r="Q690" s="119" t="s">
        <v>43</v>
      </c>
      <c r="R690" s="119" t="str">
        <f t="shared" si="3"/>
        <v>X</v>
      </c>
      <c r="S690" s="120" t="s">
        <v>60</v>
      </c>
      <c r="T690" s="34" t="str">
        <f>IF('PL1(Full)'!$N690&gt;=20,"x",IF(AND('PL1(Full)'!$N690&gt;=15,'PL1(Full)'!$P690&gt;60),"x",""))</f>
        <v/>
      </c>
      <c r="U690" s="34" t="str">
        <f>IF(AND('PL1(Full)'!$H690="Thôn",'PL1(Full)'!$I690&lt;75),"x",IF(AND('PL1(Full)'!$H690="Tổ",'PL1(Full)'!$I690&lt;100),"x","-"))</f>
        <v>x</v>
      </c>
      <c r="V690" s="34" t="str">
        <f>IF(AND('PL1(Full)'!$H690="Thôn",'PL1(Full)'!$I690&lt;140),"x",IF(AND('PL1(Full)'!$H690="Tổ",'PL1(Full)'!$I690&lt;210),"x","-"))</f>
        <v>x</v>
      </c>
      <c r="W690" s="40" t="str">
        <f t="shared" si="114"/>
        <v>Loại 3</v>
      </c>
      <c r="X690" s="34"/>
    </row>
    <row r="691" spans="1:24" ht="15.75" customHeight="1">
      <c r="A691" s="30">
        <f>_xlfn.AGGREGATE(4,7,A$6:A690)+1</f>
        <v>480</v>
      </c>
      <c r="B691" s="31" t="str">
        <f t="shared" si="113"/>
        <v>H. Chợ Mới</v>
      </c>
      <c r="C691" s="31" t="str">
        <f t="shared" si="126"/>
        <v>X. Yên Cư</v>
      </c>
      <c r="D691" s="34"/>
      <c r="E691" s="34" t="s">
        <v>58</v>
      </c>
      <c r="F691" s="31" t="s">
        <v>771</v>
      </c>
      <c r="G691" s="34"/>
      <c r="H691" s="34" t="str">
        <f>IF(LEFT('PL1(Full)'!$F691,4)="Thôn","Thôn","Tổ")</f>
        <v>Thôn</v>
      </c>
      <c r="I691" s="36">
        <v>34</v>
      </c>
      <c r="J691" s="36">
        <v>146</v>
      </c>
      <c r="K691" s="36">
        <v>34</v>
      </c>
      <c r="L691" s="37">
        <f t="shared" si="0"/>
        <v>100</v>
      </c>
      <c r="M691" s="36">
        <v>6</v>
      </c>
      <c r="N691" s="38">
        <f t="shared" si="1"/>
        <v>17.647058823529413</v>
      </c>
      <c r="O691" s="36">
        <v>6</v>
      </c>
      <c r="P691" s="38">
        <f t="shared" si="2"/>
        <v>100</v>
      </c>
      <c r="Q691" s="111" t="s">
        <v>117</v>
      </c>
      <c r="R691" s="111" t="str">
        <f t="shared" si="3"/>
        <v>T</v>
      </c>
      <c r="S691" s="112" t="s">
        <v>60</v>
      </c>
      <c r="T691" s="34" t="str">
        <f>IF('PL1(Full)'!$N691&gt;=20,"x",IF(AND('PL1(Full)'!$N691&gt;=15,'PL1(Full)'!$P691&gt;60),"x",""))</f>
        <v>x</v>
      </c>
      <c r="U691" s="34" t="str">
        <f>IF(AND('PL1(Full)'!$H691="Thôn",'PL1(Full)'!$I691&lt;75),"x",IF(AND('PL1(Full)'!$H691="Tổ",'PL1(Full)'!$I691&lt;100),"x","-"))</f>
        <v>x</v>
      </c>
      <c r="V691" s="34" t="str">
        <f>IF(AND('PL1(Full)'!$H691="Thôn",'PL1(Full)'!$I691&lt;140),"x",IF(AND('PL1(Full)'!$H691="Tổ",'PL1(Full)'!$I691&lt;210),"x","-"))</f>
        <v>x</v>
      </c>
      <c r="W691" s="40" t="str">
        <f t="shared" si="114"/>
        <v>Loại 3</v>
      </c>
      <c r="X691" s="34"/>
    </row>
    <row r="692" spans="1:24" ht="15.75" customHeight="1">
      <c r="A692" s="30">
        <f>_xlfn.AGGREGATE(4,7,A$6:A691)+1</f>
        <v>481</v>
      </c>
      <c r="B692" s="31" t="str">
        <f t="shared" si="113"/>
        <v>H. Chợ Mới</v>
      </c>
      <c r="C692" s="31" t="str">
        <f t="shared" si="126"/>
        <v>X. Yên Cư</v>
      </c>
      <c r="D692" s="34"/>
      <c r="E692" s="34" t="s">
        <v>58</v>
      </c>
      <c r="F692" s="31" t="s">
        <v>772</v>
      </c>
      <c r="G692" s="34"/>
      <c r="H692" s="34" t="str">
        <f>IF(LEFT('PL1(Full)'!$F692,4)="Thôn","Thôn","Tổ")</f>
        <v>Thôn</v>
      </c>
      <c r="I692" s="36">
        <v>39</v>
      </c>
      <c r="J692" s="36">
        <v>159</v>
      </c>
      <c r="K692" s="36">
        <v>39</v>
      </c>
      <c r="L692" s="37">
        <f t="shared" si="0"/>
        <v>100</v>
      </c>
      <c r="M692" s="36">
        <v>8</v>
      </c>
      <c r="N692" s="38">
        <f t="shared" si="1"/>
        <v>20.512820512820515</v>
      </c>
      <c r="O692" s="36">
        <v>8</v>
      </c>
      <c r="P692" s="38">
        <f t="shared" si="2"/>
        <v>100</v>
      </c>
      <c r="Q692" s="111" t="s">
        <v>43</v>
      </c>
      <c r="R692" s="111" t="str">
        <f t="shared" si="3"/>
        <v>X</v>
      </c>
      <c r="S692" s="112"/>
      <c r="T692" s="34" t="str">
        <f>IF('PL1(Full)'!$N692&gt;=20,"x",IF(AND('PL1(Full)'!$N692&gt;=15,'PL1(Full)'!$P692&gt;60),"x",""))</f>
        <v>x</v>
      </c>
      <c r="U692" s="34" t="str">
        <f>IF(AND('PL1(Full)'!$H692="Thôn",'PL1(Full)'!$I692&lt;75),"x",IF(AND('PL1(Full)'!$H692="Tổ",'PL1(Full)'!$I692&lt;100),"x","-"))</f>
        <v>x</v>
      </c>
      <c r="V692" s="34" t="str">
        <f>IF(AND('PL1(Full)'!$H692="Thôn",'PL1(Full)'!$I692&lt;140),"x",IF(AND('PL1(Full)'!$H692="Tổ",'PL1(Full)'!$I692&lt;210),"x","-"))</f>
        <v>x</v>
      </c>
      <c r="W692" s="40" t="str">
        <f t="shared" si="114"/>
        <v>Loại 3</v>
      </c>
      <c r="X692" s="34"/>
    </row>
    <row r="693" spans="1:24" ht="15.75" customHeight="1">
      <c r="A693" s="30">
        <f>_xlfn.AGGREGATE(4,7,A$6:A692)+1</f>
        <v>482</v>
      </c>
      <c r="B693" s="31" t="str">
        <f t="shared" si="113"/>
        <v>H. Chợ Mới</v>
      </c>
      <c r="C693" s="31" t="str">
        <f t="shared" si="126"/>
        <v>X. Yên Cư</v>
      </c>
      <c r="D693" s="34"/>
      <c r="E693" s="34" t="s">
        <v>58</v>
      </c>
      <c r="F693" s="31" t="s">
        <v>773</v>
      </c>
      <c r="G693" s="34"/>
      <c r="H693" s="34" t="str">
        <f>IF(LEFT('PL1(Full)'!$F693,4)="Thôn","Thôn","Tổ")</f>
        <v>Thôn</v>
      </c>
      <c r="I693" s="36">
        <v>37</v>
      </c>
      <c r="J693" s="36">
        <v>155</v>
      </c>
      <c r="K693" s="36">
        <v>37</v>
      </c>
      <c r="L693" s="37">
        <f t="shared" si="0"/>
        <v>100</v>
      </c>
      <c r="M693" s="36">
        <v>5</v>
      </c>
      <c r="N693" s="38">
        <f t="shared" si="1"/>
        <v>13.513513513513514</v>
      </c>
      <c r="O693" s="36">
        <v>5</v>
      </c>
      <c r="P693" s="38">
        <f t="shared" si="2"/>
        <v>100</v>
      </c>
      <c r="Q693" s="111" t="s">
        <v>117</v>
      </c>
      <c r="R693" s="111" t="str">
        <f t="shared" si="3"/>
        <v>T</v>
      </c>
      <c r="S693" s="112" t="s">
        <v>60</v>
      </c>
      <c r="T693" s="34" t="str">
        <f>IF('PL1(Full)'!$N693&gt;=20,"x",IF(AND('PL1(Full)'!$N693&gt;=15,'PL1(Full)'!$P693&gt;60),"x",""))</f>
        <v/>
      </c>
      <c r="U693" s="34" t="str">
        <f>IF(AND('PL1(Full)'!$H693="Thôn",'PL1(Full)'!$I693&lt;75),"x",IF(AND('PL1(Full)'!$H693="Tổ",'PL1(Full)'!$I693&lt;100),"x","-"))</f>
        <v>x</v>
      </c>
      <c r="V693" s="34" t="str">
        <f>IF(AND('PL1(Full)'!$H693="Thôn",'PL1(Full)'!$I693&lt;140),"x",IF(AND('PL1(Full)'!$H693="Tổ",'PL1(Full)'!$I693&lt;210),"x","-"))</f>
        <v>x</v>
      </c>
      <c r="W693" s="40" t="str">
        <f t="shared" si="114"/>
        <v>Loại 3</v>
      </c>
      <c r="X693" s="34"/>
    </row>
    <row r="694" spans="1:24" ht="15.75" customHeight="1">
      <c r="A694" s="41">
        <f>_xlfn.AGGREGATE(4,7,A$6:A693)+1</f>
        <v>483</v>
      </c>
      <c r="B694" s="42" t="str">
        <f t="shared" si="113"/>
        <v>H. Chợ Mới</v>
      </c>
      <c r="C694" s="42" t="str">
        <f t="shared" si="126"/>
        <v>X. Yên Cư</v>
      </c>
      <c r="D694" s="50"/>
      <c r="E694" s="50" t="s">
        <v>58</v>
      </c>
      <c r="F694" s="42" t="s">
        <v>774</v>
      </c>
      <c r="G694" s="50"/>
      <c r="H694" s="50" t="str">
        <f>IF(LEFT('PL1(Full)'!$F694,4)="Thôn","Thôn","Tổ")</f>
        <v>Thôn</v>
      </c>
      <c r="I694" s="46">
        <v>28</v>
      </c>
      <c r="J694" s="121">
        <v>126</v>
      </c>
      <c r="K694" s="46">
        <v>28</v>
      </c>
      <c r="L694" s="47">
        <f t="shared" si="0"/>
        <v>100</v>
      </c>
      <c r="M694" s="46">
        <v>15</v>
      </c>
      <c r="N694" s="48">
        <f t="shared" si="1"/>
        <v>53.571428571428569</v>
      </c>
      <c r="O694" s="46">
        <v>15</v>
      </c>
      <c r="P694" s="48">
        <f t="shared" si="2"/>
        <v>100</v>
      </c>
      <c r="Q694" s="113" t="s">
        <v>117</v>
      </c>
      <c r="R694" s="113" t="str">
        <f t="shared" si="3"/>
        <v>T</v>
      </c>
      <c r="S694" s="114" t="s">
        <v>60</v>
      </c>
      <c r="T694" s="50" t="str">
        <f>IF('PL1(Full)'!$N694&gt;=20,"x",IF(AND('PL1(Full)'!$N694&gt;=15,'PL1(Full)'!$P694&gt;60),"x",""))</f>
        <v>x</v>
      </c>
      <c r="U694" s="50" t="str">
        <f>IF(AND('PL1(Full)'!$H694="Thôn",'PL1(Full)'!$I694&lt;75),"x",IF(AND('PL1(Full)'!$H694="Tổ",'PL1(Full)'!$I694&lt;100),"x","-"))</f>
        <v>x</v>
      </c>
      <c r="V694" s="34" t="str">
        <f>IF(AND('PL1(Full)'!$H694="Thôn",'PL1(Full)'!$I694&lt;140),"x",IF(AND('PL1(Full)'!$H694="Tổ",'PL1(Full)'!$I694&lt;210),"x","-"))</f>
        <v>x</v>
      </c>
      <c r="W694" s="51" t="str">
        <f t="shared" si="114"/>
        <v>Loại 3</v>
      </c>
      <c r="X694" s="50"/>
    </row>
    <row r="695" spans="1:24" ht="15.75" customHeight="1">
      <c r="A695" s="52">
        <f>_xlfn.AGGREGATE(4,7,A$6:A694)+1</f>
        <v>484</v>
      </c>
      <c r="B695" s="14" t="str">
        <f t="shared" si="113"/>
        <v>H. Chợ Mới</v>
      </c>
      <c r="C695" s="14" t="s">
        <v>775</v>
      </c>
      <c r="D695" s="25" t="s">
        <v>58</v>
      </c>
      <c r="E695" s="25" t="s">
        <v>58</v>
      </c>
      <c r="F695" s="14" t="s">
        <v>776</v>
      </c>
      <c r="G695" s="25"/>
      <c r="H695" s="25" t="str">
        <f>IF(LEFT('PL1(Full)'!$F695,4)="Thôn","Thôn","Tổ")</f>
        <v>Thôn</v>
      </c>
      <c r="I695" s="122">
        <v>40</v>
      </c>
      <c r="J695" s="123">
        <v>186</v>
      </c>
      <c r="K695" s="124">
        <v>40</v>
      </c>
      <c r="L695" s="21">
        <f t="shared" si="0"/>
        <v>100</v>
      </c>
      <c r="M695" s="20">
        <v>12</v>
      </c>
      <c r="N695" s="22">
        <f t="shared" si="1"/>
        <v>30</v>
      </c>
      <c r="O695" s="20">
        <v>12</v>
      </c>
      <c r="P695" s="22">
        <f t="shared" si="2"/>
        <v>100</v>
      </c>
      <c r="Q695" s="23" t="s">
        <v>63</v>
      </c>
      <c r="R695" s="24" t="str">
        <f t="shared" si="3"/>
        <v>X</v>
      </c>
      <c r="S695" s="25" t="s">
        <v>60</v>
      </c>
      <c r="T695" s="26" t="str">
        <f>IF('PL1(Full)'!$N695&gt;=20,"x",IF(AND('PL1(Full)'!$N695&gt;=15,'PL1(Full)'!$P695&gt;60),"x",""))</f>
        <v>x</v>
      </c>
      <c r="U695" s="27" t="str">
        <f>IF(AND('PL1(Full)'!$H695="Thôn",'PL1(Full)'!$I695&lt;75),"x",IF(AND('PL1(Full)'!$H695="Tổ",'PL1(Full)'!$I695&lt;100),"x","-"))</f>
        <v>x</v>
      </c>
      <c r="V695" s="28" t="str">
        <f>IF(AND('PL1(Full)'!$H695="Thôn",'PL1(Full)'!$I695&lt;140),"x",IF(AND('PL1(Full)'!$H695="Tổ",'PL1(Full)'!$I695&lt;210),"x","-"))</f>
        <v>x</v>
      </c>
      <c r="W695" s="29" t="str">
        <f t="shared" si="114"/>
        <v>Loại 3</v>
      </c>
      <c r="X695" s="25"/>
    </row>
    <row r="696" spans="1:24" ht="15.75" customHeight="1">
      <c r="A696" s="30">
        <f>_xlfn.AGGREGATE(4,7,A$6:A695)+1</f>
        <v>485</v>
      </c>
      <c r="B696" s="31" t="str">
        <f t="shared" si="113"/>
        <v>H. Chợ Mới</v>
      </c>
      <c r="C696" s="31" t="str">
        <f t="shared" ref="C696:C704" si="127">C695</f>
        <v>X. Yên Hân</v>
      </c>
      <c r="D696" s="34"/>
      <c r="E696" s="34" t="s">
        <v>58</v>
      </c>
      <c r="F696" s="31" t="s">
        <v>777</v>
      </c>
      <c r="G696" s="34"/>
      <c r="H696" s="34" t="str">
        <f>IF(LEFT('PL1(Full)'!$F696,4)="Thôn","Thôn","Tổ")</f>
        <v>Thôn</v>
      </c>
      <c r="I696" s="125">
        <v>38</v>
      </c>
      <c r="J696" s="126">
        <v>155</v>
      </c>
      <c r="K696" s="127">
        <v>26</v>
      </c>
      <c r="L696" s="37">
        <f t="shared" si="0"/>
        <v>68.421052631578945</v>
      </c>
      <c r="M696" s="36">
        <v>4</v>
      </c>
      <c r="N696" s="38">
        <f t="shared" si="1"/>
        <v>10.526315789473685</v>
      </c>
      <c r="O696" s="36">
        <v>1</v>
      </c>
      <c r="P696" s="38">
        <f t="shared" si="2"/>
        <v>25</v>
      </c>
      <c r="Q696" s="39" t="s">
        <v>63</v>
      </c>
      <c r="R696" s="39" t="str">
        <f t="shared" si="3"/>
        <v>X</v>
      </c>
      <c r="S696" s="34"/>
      <c r="T696" s="34" t="str">
        <f>IF('PL1(Full)'!$N696&gt;=20,"x",IF(AND('PL1(Full)'!$N696&gt;=15,'PL1(Full)'!$P696&gt;60),"x",""))</f>
        <v/>
      </c>
      <c r="U696" s="34" t="str">
        <f>IF(AND('PL1(Full)'!$H696="Thôn",'PL1(Full)'!$I696&lt;75),"x",IF(AND('PL1(Full)'!$H696="Tổ",'PL1(Full)'!$I696&lt;100),"x","-"))</f>
        <v>x</v>
      </c>
      <c r="V696" s="34" t="str">
        <f>IF(AND('PL1(Full)'!$H696="Thôn",'PL1(Full)'!$I696&lt;140),"x",IF(AND('PL1(Full)'!$H696="Tổ",'PL1(Full)'!$I696&lt;210),"x","-"))</f>
        <v>x</v>
      </c>
      <c r="W696" s="40" t="str">
        <f t="shared" si="114"/>
        <v>Loại 3</v>
      </c>
      <c r="X696" s="34"/>
    </row>
    <row r="697" spans="1:24" ht="15.75" customHeight="1">
      <c r="A697" s="30">
        <f>_xlfn.AGGREGATE(4,7,A$6:A696)+1</f>
        <v>486</v>
      </c>
      <c r="B697" s="31" t="str">
        <f t="shared" si="113"/>
        <v>H. Chợ Mới</v>
      </c>
      <c r="C697" s="31" t="str">
        <f t="shared" si="127"/>
        <v>X. Yên Hân</v>
      </c>
      <c r="D697" s="34"/>
      <c r="E697" s="34" t="s">
        <v>58</v>
      </c>
      <c r="F697" s="31" t="s">
        <v>778</v>
      </c>
      <c r="G697" s="34"/>
      <c r="H697" s="34" t="str">
        <f>IF(LEFT('PL1(Full)'!$F697,4)="Thôn","Thôn","Tổ")</f>
        <v>Thôn</v>
      </c>
      <c r="I697" s="125">
        <v>48</v>
      </c>
      <c r="J697" s="126">
        <v>209</v>
      </c>
      <c r="K697" s="127">
        <v>46</v>
      </c>
      <c r="L697" s="37">
        <f t="shared" si="0"/>
        <v>95.833333333333329</v>
      </c>
      <c r="M697" s="36">
        <v>3</v>
      </c>
      <c r="N697" s="38">
        <f t="shared" si="1"/>
        <v>6.25</v>
      </c>
      <c r="O697" s="36">
        <v>3</v>
      </c>
      <c r="P697" s="38">
        <f t="shared" si="2"/>
        <v>100</v>
      </c>
      <c r="Q697" s="39" t="s">
        <v>63</v>
      </c>
      <c r="R697" s="39" t="str">
        <f t="shared" si="3"/>
        <v>X</v>
      </c>
      <c r="S697" s="34" t="s">
        <v>60</v>
      </c>
      <c r="T697" s="34" t="str">
        <f>IF('PL1(Full)'!$N697&gt;=20,"x",IF(AND('PL1(Full)'!$N697&gt;=15,'PL1(Full)'!$P697&gt;60),"x",""))</f>
        <v/>
      </c>
      <c r="U697" s="34" t="str">
        <f>IF(AND('PL1(Full)'!$H697="Thôn",'PL1(Full)'!$I697&lt;75),"x",IF(AND('PL1(Full)'!$H697="Tổ",'PL1(Full)'!$I697&lt;100),"x","-"))</f>
        <v>x</v>
      </c>
      <c r="V697" s="34" t="str">
        <f>IF(AND('PL1(Full)'!$H697="Thôn",'PL1(Full)'!$I697&lt;140),"x",IF(AND('PL1(Full)'!$H697="Tổ",'PL1(Full)'!$I697&lt;210),"x","-"))</f>
        <v>x</v>
      </c>
      <c r="W697" s="40" t="str">
        <f t="shared" si="114"/>
        <v>Loại 3</v>
      </c>
      <c r="X697" s="34"/>
    </row>
    <row r="698" spans="1:24" ht="15.75" customHeight="1">
      <c r="A698" s="30">
        <f>_xlfn.AGGREGATE(4,7,A$6:A697)+1</f>
        <v>487</v>
      </c>
      <c r="B698" s="31" t="str">
        <f t="shared" si="113"/>
        <v>H. Chợ Mới</v>
      </c>
      <c r="C698" s="31" t="str">
        <f t="shared" si="127"/>
        <v>X. Yên Hân</v>
      </c>
      <c r="D698" s="34"/>
      <c r="E698" s="34" t="s">
        <v>58</v>
      </c>
      <c r="F698" s="31" t="s">
        <v>755</v>
      </c>
      <c r="G698" s="34"/>
      <c r="H698" s="34" t="str">
        <f>IF(LEFT('PL1(Full)'!$F698,4)="Thôn","Thôn","Tổ")</f>
        <v>Thôn</v>
      </c>
      <c r="I698" s="125">
        <v>57</v>
      </c>
      <c r="J698" s="126">
        <v>270</v>
      </c>
      <c r="K698" s="127">
        <v>57</v>
      </c>
      <c r="L698" s="37">
        <f t="shared" si="0"/>
        <v>100</v>
      </c>
      <c r="M698" s="36">
        <v>17</v>
      </c>
      <c r="N698" s="38">
        <f t="shared" si="1"/>
        <v>29.82456140350877</v>
      </c>
      <c r="O698" s="36">
        <v>17</v>
      </c>
      <c r="P698" s="38">
        <f t="shared" si="2"/>
        <v>100</v>
      </c>
      <c r="Q698" s="39" t="s">
        <v>63</v>
      </c>
      <c r="R698" s="39" t="str">
        <f t="shared" si="3"/>
        <v>X</v>
      </c>
      <c r="S698" s="34" t="s">
        <v>60</v>
      </c>
      <c r="T698" s="34" t="str">
        <f>IF('PL1(Full)'!$N698&gt;=20,"x",IF(AND('PL1(Full)'!$N698&gt;=15,'PL1(Full)'!$P698&gt;60),"x",""))</f>
        <v>x</v>
      </c>
      <c r="U698" s="34" t="str">
        <f>IF(AND('PL1(Full)'!$H698="Thôn",'PL1(Full)'!$I698&lt;75),"x",IF(AND('PL1(Full)'!$H698="Tổ",'PL1(Full)'!$I698&lt;100),"x","-"))</f>
        <v>x</v>
      </c>
      <c r="V698" s="34" t="str">
        <f>IF(AND('PL1(Full)'!$H698="Thôn",'PL1(Full)'!$I698&lt;140),"x",IF(AND('PL1(Full)'!$H698="Tổ",'PL1(Full)'!$I698&lt;210),"x","-"))</f>
        <v>x</v>
      </c>
      <c r="W698" s="40" t="str">
        <f t="shared" si="114"/>
        <v>Loại 3</v>
      </c>
      <c r="X698" s="34"/>
    </row>
    <row r="699" spans="1:24" ht="15.75" customHeight="1">
      <c r="A699" s="30">
        <f>_xlfn.AGGREGATE(4,7,A$6:A698)+1</f>
        <v>488</v>
      </c>
      <c r="B699" s="31" t="str">
        <f t="shared" si="113"/>
        <v>H. Chợ Mới</v>
      </c>
      <c r="C699" s="31" t="str">
        <f t="shared" si="127"/>
        <v>X. Yên Hân</v>
      </c>
      <c r="D699" s="34"/>
      <c r="E699" s="34" t="s">
        <v>58</v>
      </c>
      <c r="F699" s="31" t="s">
        <v>779</v>
      </c>
      <c r="G699" s="34"/>
      <c r="H699" s="34" t="str">
        <f>IF(LEFT('PL1(Full)'!$F699,4)="Thôn","Thôn","Tổ")</f>
        <v>Thôn</v>
      </c>
      <c r="I699" s="125">
        <v>46</v>
      </c>
      <c r="J699" s="126">
        <v>217</v>
      </c>
      <c r="K699" s="127">
        <v>46</v>
      </c>
      <c r="L699" s="37">
        <f t="shared" si="0"/>
        <v>100</v>
      </c>
      <c r="M699" s="36">
        <v>6</v>
      </c>
      <c r="N699" s="38">
        <f t="shared" si="1"/>
        <v>13.043478260869565</v>
      </c>
      <c r="O699" s="36">
        <v>5</v>
      </c>
      <c r="P699" s="38">
        <f t="shared" si="2"/>
        <v>83.333333333333329</v>
      </c>
      <c r="Q699" s="39" t="s">
        <v>154</v>
      </c>
      <c r="R699" s="39" t="str">
        <f t="shared" si="3"/>
        <v>X</v>
      </c>
      <c r="S699" s="34"/>
      <c r="T699" s="34" t="str">
        <f>IF('PL1(Full)'!$N699&gt;=20,"x",IF(AND('PL1(Full)'!$N699&gt;=15,'PL1(Full)'!$P699&gt;60),"x",""))</f>
        <v/>
      </c>
      <c r="U699" s="34" t="str">
        <f>IF(AND('PL1(Full)'!$H699="Thôn",'PL1(Full)'!$I699&lt;75),"x",IF(AND('PL1(Full)'!$H699="Tổ",'PL1(Full)'!$I699&lt;100),"x","-"))</f>
        <v>x</v>
      </c>
      <c r="V699" s="34" t="str">
        <f>IF(AND('PL1(Full)'!$H699="Thôn",'PL1(Full)'!$I699&lt;140),"x",IF(AND('PL1(Full)'!$H699="Tổ",'PL1(Full)'!$I699&lt;210),"x","-"))</f>
        <v>x</v>
      </c>
      <c r="W699" s="40" t="str">
        <f t="shared" si="114"/>
        <v>Loại 3</v>
      </c>
      <c r="X699" s="34"/>
    </row>
    <row r="700" spans="1:24" ht="15.75" customHeight="1">
      <c r="A700" s="30">
        <f>_xlfn.AGGREGATE(4,7,A$6:A699)+1</f>
        <v>489</v>
      </c>
      <c r="B700" s="31" t="str">
        <f t="shared" si="113"/>
        <v>H. Chợ Mới</v>
      </c>
      <c r="C700" s="31" t="str">
        <f t="shared" si="127"/>
        <v>X. Yên Hân</v>
      </c>
      <c r="D700" s="34"/>
      <c r="E700" s="34" t="s">
        <v>58</v>
      </c>
      <c r="F700" s="31" t="s">
        <v>159</v>
      </c>
      <c r="G700" s="34"/>
      <c r="H700" s="34" t="str">
        <f>IF(LEFT('PL1(Full)'!$F700,4)="Thôn","Thôn","Tổ")</f>
        <v>Thôn</v>
      </c>
      <c r="I700" s="125">
        <v>32</v>
      </c>
      <c r="J700" s="126">
        <v>148</v>
      </c>
      <c r="K700" s="127">
        <v>32</v>
      </c>
      <c r="L700" s="37">
        <f t="shared" si="0"/>
        <v>100</v>
      </c>
      <c r="M700" s="36">
        <v>12</v>
      </c>
      <c r="N700" s="38">
        <f t="shared" si="1"/>
        <v>37.5</v>
      </c>
      <c r="O700" s="36">
        <v>12</v>
      </c>
      <c r="P700" s="38">
        <f t="shared" si="2"/>
        <v>100</v>
      </c>
      <c r="Q700" s="39" t="s">
        <v>63</v>
      </c>
      <c r="R700" s="39" t="str">
        <f t="shared" si="3"/>
        <v>X</v>
      </c>
      <c r="S700" s="34" t="s">
        <v>60</v>
      </c>
      <c r="T700" s="34" t="str">
        <f>IF('PL1(Full)'!$N700&gt;=20,"x",IF(AND('PL1(Full)'!$N700&gt;=15,'PL1(Full)'!$P700&gt;60),"x",""))</f>
        <v>x</v>
      </c>
      <c r="U700" s="34" t="str">
        <f>IF(AND('PL1(Full)'!$H700="Thôn",'PL1(Full)'!$I700&lt;75),"x",IF(AND('PL1(Full)'!$H700="Tổ",'PL1(Full)'!$I700&lt;100),"x","-"))</f>
        <v>x</v>
      </c>
      <c r="V700" s="34" t="str">
        <f>IF(AND('PL1(Full)'!$H700="Thôn",'PL1(Full)'!$I700&lt;140),"x",IF(AND('PL1(Full)'!$H700="Tổ",'PL1(Full)'!$I700&lt;210),"x","-"))</f>
        <v>x</v>
      </c>
      <c r="W700" s="40" t="str">
        <f t="shared" si="114"/>
        <v>Loại 3</v>
      </c>
      <c r="X700" s="34"/>
    </row>
    <row r="701" spans="1:24" ht="15.75" customHeight="1">
      <c r="A701" s="30">
        <f>_xlfn.AGGREGATE(4,7,A$6:A700)+1</f>
        <v>490</v>
      </c>
      <c r="B701" s="31" t="str">
        <f t="shared" si="113"/>
        <v>H. Chợ Mới</v>
      </c>
      <c r="C701" s="31" t="str">
        <f t="shared" si="127"/>
        <v>X. Yên Hân</v>
      </c>
      <c r="D701" s="34"/>
      <c r="E701" s="34" t="s">
        <v>58</v>
      </c>
      <c r="F701" s="31" t="s">
        <v>780</v>
      </c>
      <c r="G701" s="34"/>
      <c r="H701" s="34" t="str">
        <f>IF(LEFT('PL1(Full)'!$F701,4)="Thôn","Thôn","Tổ")</f>
        <v>Thôn</v>
      </c>
      <c r="I701" s="125">
        <v>62</v>
      </c>
      <c r="J701" s="126">
        <v>308</v>
      </c>
      <c r="K701" s="127">
        <v>62</v>
      </c>
      <c r="L701" s="37">
        <f t="shared" si="0"/>
        <v>100</v>
      </c>
      <c r="M701" s="36">
        <v>12</v>
      </c>
      <c r="N701" s="38">
        <f t="shared" si="1"/>
        <v>19.35483870967742</v>
      </c>
      <c r="O701" s="36">
        <v>12</v>
      </c>
      <c r="P701" s="38">
        <f t="shared" si="2"/>
        <v>100</v>
      </c>
      <c r="Q701" s="39" t="s">
        <v>63</v>
      </c>
      <c r="R701" s="39" t="str">
        <f t="shared" si="3"/>
        <v>X</v>
      </c>
      <c r="S701" s="34" t="s">
        <v>60</v>
      </c>
      <c r="T701" s="34" t="str">
        <f>IF('PL1(Full)'!$N701&gt;=20,"x",IF(AND('PL1(Full)'!$N701&gt;=15,'PL1(Full)'!$P701&gt;60),"x",""))</f>
        <v>x</v>
      </c>
      <c r="U701" s="34" t="str">
        <f>IF(AND('PL1(Full)'!$H701="Thôn",'PL1(Full)'!$I701&lt;75),"x",IF(AND('PL1(Full)'!$H701="Tổ",'PL1(Full)'!$I701&lt;100),"x","-"))</f>
        <v>x</v>
      </c>
      <c r="V701" s="34" t="str">
        <f>IF(AND('PL1(Full)'!$H701="Thôn",'PL1(Full)'!$I701&lt;140),"x",IF(AND('PL1(Full)'!$H701="Tổ",'PL1(Full)'!$I701&lt;210),"x","-"))</f>
        <v>x</v>
      </c>
      <c r="W701" s="40" t="str">
        <f t="shared" si="114"/>
        <v>Loại 3</v>
      </c>
      <c r="X701" s="34"/>
    </row>
    <row r="702" spans="1:24" ht="15.75" customHeight="1">
      <c r="A702" s="30">
        <f>_xlfn.AGGREGATE(4,7,A$6:A701)+1</f>
        <v>491</v>
      </c>
      <c r="B702" s="31" t="str">
        <f t="shared" si="113"/>
        <v>H. Chợ Mới</v>
      </c>
      <c r="C702" s="31" t="str">
        <f t="shared" si="127"/>
        <v>X. Yên Hân</v>
      </c>
      <c r="D702" s="34"/>
      <c r="E702" s="34" t="s">
        <v>58</v>
      </c>
      <c r="F702" s="31" t="s">
        <v>781</v>
      </c>
      <c r="G702" s="34"/>
      <c r="H702" s="34" t="str">
        <f>IF(LEFT('PL1(Full)'!$F702,4)="Thôn","Thôn","Tổ")</f>
        <v>Thôn</v>
      </c>
      <c r="I702" s="125">
        <v>14</v>
      </c>
      <c r="J702" s="126">
        <v>50</v>
      </c>
      <c r="K702" s="127">
        <v>14</v>
      </c>
      <c r="L702" s="37">
        <f t="shared" si="0"/>
        <v>100</v>
      </c>
      <c r="M702" s="36">
        <v>9</v>
      </c>
      <c r="N702" s="38">
        <f t="shared" si="1"/>
        <v>64.285714285714292</v>
      </c>
      <c r="O702" s="36">
        <v>9</v>
      </c>
      <c r="P702" s="38">
        <f t="shared" si="2"/>
        <v>100</v>
      </c>
      <c r="Q702" s="39" t="s">
        <v>154</v>
      </c>
      <c r="R702" s="39" t="str">
        <f t="shared" si="3"/>
        <v>X</v>
      </c>
      <c r="S702" s="34" t="s">
        <v>60</v>
      </c>
      <c r="T702" s="34" t="str">
        <f>IF('PL1(Full)'!$N702&gt;=20,"x",IF(AND('PL1(Full)'!$N702&gt;=15,'PL1(Full)'!$P702&gt;60),"x",""))</f>
        <v>x</v>
      </c>
      <c r="U702" s="34" t="str">
        <f>IF(AND('PL1(Full)'!$H702="Thôn",'PL1(Full)'!$I702&lt;75),"x",IF(AND('PL1(Full)'!$H702="Tổ",'PL1(Full)'!$I702&lt;100),"x","-"))</f>
        <v>x</v>
      </c>
      <c r="V702" s="34" t="str">
        <f>IF(AND('PL1(Full)'!$H702="Thôn",'PL1(Full)'!$I702&lt;140),"x",IF(AND('PL1(Full)'!$H702="Tổ",'PL1(Full)'!$I702&lt;210),"x","-"))</f>
        <v>x</v>
      </c>
      <c r="W702" s="40" t="str">
        <f t="shared" si="114"/>
        <v>Loại 3</v>
      </c>
      <c r="X702" s="34"/>
    </row>
    <row r="703" spans="1:24" ht="15.75" customHeight="1">
      <c r="A703" s="30">
        <f>_xlfn.AGGREGATE(4,7,A$6:A702)+1</f>
        <v>492</v>
      </c>
      <c r="B703" s="31" t="str">
        <f t="shared" si="113"/>
        <v>H. Chợ Mới</v>
      </c>
      <c r="C703" s="31" t="str">
        <f t="shared" si="127"/>
        <v>X. Yên Hân</v>
      </c>
      <c r="D703" s="34"/>
      <c r="E703" s="34" t="s">
        <v>58</v>
      </c>
      <c r="F703" s="31" t="s">
        <v>782</v>
      </c>
      <c r="G703" s="34"/>
      <c r="H703" s="34" t="str">
        <f>IF(LEFT('PL1(Full)'!$F703,4)="Thôn","Thôn","Tổ")</f>
        <v>Thôn</v>
      </c>
      <c r="I703" s="125">
        <v>60</v>
      </c>
      <c r="J703" s="126">
        <v>257</v>
      </c>
      <c r="K703" s="127">
        <v>56</v>
      </c>
      <c r="L703" s="37">
        <f t="shared" si="0"/>
        <v>93.333333333333329</v>
      </c>
      <c r="M703" s="36">
        <v>9</v>
      </c>
      <c r="N703" s="38">
        <f t="shared" si="1"/>
        <v>15</v>
      </c>
      <c r="O703" s="36">
        <v>9</v>
      </c>
      <c r="P703" s="38">
        <f t="shared" si="2"/>
        <v>100</v>
      </c>
      <c r="Q703" s="39" t="s">
        <v>63</v>
      </c>
      <c r="R703" s="39" t="str">
        <f t="shared" si="3"/>
        <v>X</v>
      </c>
      <c r="S703" s="34" t="s">
        <v>60</v>
      </c>
      <c r="T703" s="34" t="str">
        <f>IF('PL1(Full)'!$N703&gt;=20,"x",IF(AND('PL1(Full)'!$N703&gt;=15,'PL1(Full)'!$P703&gt;60),"x",""))</f>
        <v>x</v>
      </c>
      <c r="U703" s="34" t="str">
        <f>IF(AND('PL1(Full)'!$H703="Thôn",'PL1(Full)'!$I703&lt;75),"x",IF(AND('PL1(Full)'!$H703="Tổ",'PL1(Full)'!$I703&lt;100),"x","-"))</f>
        <v>x</v>
      </c>
      <c r="V703" s="34" t="str">
        <f>IF(AND('PL1(Full)'!$H703="Thôn",'PL1(Full)'!$I703&lt;140),"x",IF(AND('PL1(Full)'!$H703="Tổ",'PL1(Full)'!$I703&lt;210),"x","-"))</f>
        <v>x</v>
      </c>
      <c r="W703" s="40" t="str">
        <f t="shared" si="114"/>
        <v>Loại 3</v>
      </c>
      <c r="X703" s="34"/>
    </row>
    <row r="704" spans="1:24" ht="15.75" customHeight="1">
      <c r="A704" s="41">
        <f>_xlfn.AGGREGATE(4,7,A$6:A703)+1</f>
        <v>493</v>
      </c>
      <c r="B704" s="42" t="str">
        <f t="shared" si="113"/>
        <v>H. Chợ Mới</v>
      </c>
      <c r="C704" s="42" t="str">
        <f t="shared" si="127"/>
        <v>X. Yên Hân</v>
      </c>
      <c r="D704" s="50"/>
      <c r="E704" s="50" t="s">
        <v>58</v>
      </c>
      <c r="F704" s="42" t="s">
        <v>783</v>
      </c>
      <c r="G704" s="50"/>
      <c r="H704" s="50" t="str">
        <f>IF(LEFT('PL1(Full)'!$F704,4)="Thôn","Thôn","Tổ")</f>
        <v>Thôn</v>
      </c>
      <c r="I704" s="128">
        <v>52</v>
      </c>
      <c r="J704" s="129">
        <v>246</v>
      </c>
      <c r="K704" s="130">
        <v>52</v>
      </c>
      <c r="L704" s="47">
        <f t="shared" si="0"/>
        <v>100</v>
      </c>
      <c r="M704" s="46">
        <v>9</v>
      </c>
      <c r="N704" s="48">
        <f t="shared" si="1"/>
        <v>17.307692307692307</v>
      </c>
      <c r="O704" s="46">
        <v>9</v>
      </c>
      <c r="P704" s="48">
        <f t="shared" si="2"/>
        <v>100</v>
      </c>
      <c r="Q704" s="49" t="s">
        <v>63</v>
      </c>
      <c r="R704" s="49" t="str">
        <f t="shared" si="3"/>
        <v>X</v>
      </c>
      <c r="S704" s="50" t="s">
        <v>60</v>
      </c>
      <c r="T704" s="50" t="str">
        <f>IF('PL1(Full)'!$N704&gt;=20,"x",IF(AND('PL1(Full)'!$N704&gt;=15,'PL1(Full)'!$P704&gt;60),"x",""))</f>
        <v>x</v>
      </c>
      <c r="U704" s="50" t="str">
        <f>IF(AND('PL1(Full)'!$H704="Thôn",'PL1(Full)'!$I704&lt;75),"x",IF(AND('PL1(Full)'!$H704="Tổ",'PL1(Full)'!$I704&lt;100),"x","-"))</f>
        <v>x</v>
      </c>
      <c r="V704" s="34" t="str">
        <f>IF(AND('PL1(Full)'!$H704="Thôn",'PL1(Full)'!$I704&lt;140),"x",IF(AND('PL1(Full)'!$H704="Tổ",'PL1(Full)'!$I704&lt;210),"x","-"))</f>
        <v>x</v>
      </c>
      <c r="W704" s="51" t="str">
        <f t="shared" si="114"/>
        <v>Loại 3</v>
      </c>
      <c r="X704" s="50"/>
    </row>
    <row r="705" spans="1:24" ht="15.75" customHeight="1">
      <c r="A705" s="12">
        <f>_xlfn.AGGREGATE(4,7,A$6:A704)+1</f>
        <v>494</v>
      </c>
      <c r="B705" s="13" t="s">
        <v>784</v>
      </c>
      <c r="C705" s="14" t="s">
        <v>785</v>
      </c>
      <c r="D705" s="15" t="s">
        <v>36</v>
      </c>
      <c r="E705" s="16" t="s">
        <v>36</v>
      </c>
      <c r="F705" s="17" t="s">
        <v>786</v>
      </c>
      <c r="G705" s="18"/>
      <c r="H705" s="18" t="str">
        <f>IF(LEFT('PL1(Full)'!$F705,4)="Thôn","Thôn","Tổ")</f>
        <v>Thôn</v>
      </c>
      <c r="I705" s="19">
        <v>49</v>
      </c>
      <c r="J705" s="131">
        <v>190</v>
      </c>
      <c r="K705" s="19">
        <v>47</v>
      </c>
      <c r="L705" s="21">
        <f t="shared" si="0"/>
        <v>95.91836734693878</v>
      </c>
      <c r="M705" s="19">
        <v>7</v>
      </c>
      <c r="N705" s="22">
        <f t="shared" si="1"/>
        <v>14.285714285714286</v>
      </c>
      <c r="O705" s="19">
        <v>7</v>
      </c>
      <c r="P705" s="22">
        <f t="shared" si="2"/>
        <v>100</v>
      </c>
      <c r="Q705" s="132" t="s">
        <v>338</v>
      </c>
      <c r="R705" s="132" t="str">
        <f t="shared" si="3"/>
        <v>X</v>
      </c>
      <c r="S705" s="133"/>
      <c r="T705" s="26" t="str">
        <f>IF('PL1(Full)'!$N705&gt;=20,"x",IF(AND('PL1(Full)'!$N705&gt;=15,'PL1(Full)'!$P705&gt;60),"x",""))</f>
        <v/>
      </c>
      <c r="U705" s="27" t="str">
        <f>IF(AND('PL1(Full)'!$H705="Thôn",'PL1(Full)'!$I705&lt;75),"x",IF(AND('PL1(Full)'!$H705="Tổ",'PL1(Full)'!$I705&lt;100),"x","-"))</f>
        <v>x</v>
      </c>
      <c r="V705" s="28" t="str">
        <f>IF(AND('PL1(Full)'!$H705="Thôn",'PL1(Full)'!$I705&lt;140),"x",IF(AND('PL1(Full)'!$H705="Tổ",'PL1(Full)'!$I705&lt;210),"x","-"))</f>
        <v>x</v>
      </c>
      <c r="W705" s="29" t="str">
        <f t="shared" si="114"/>
        <v>Loại 3</v>
      </c>
      <c r="X705" s="18"/>
    </row>
    <row r="706" spans="1:24" ht="15.75" customHeight="1">
      <c r="A706" s="30">
        <f>_xlfn.AGGREGATE(4,7,A$6:A705)+1</f>
        <v>495</v>
      </c>
      <c r="B706" s="66" t="str">
        <f t="shared" ref="B706:C706" si="128">B705</f>
        <v>H. Na Rì</v>
      </c>
      <c r="C706" s="33" t="str">
        <f t="shared" si="128"/>
        <v>TT. Yến Lạc</v>
      </c>
      <c r="D706" s="32"/>
      <c r="E706" s="32" t="s">
        <v>36</v>
      </c>
      <c r="F706" s="33" t="s">
        <v>787</v>
      </c>
      <c r="G706" s="32"/>
      <c r="H706" s="32" t="str">
        <f>IF(LEFT('PL1(Full)'!$F706,4)="Thôn","Thôn","Tổ")</f>
        <v>Thôn</v>
      </c>
      <c r="I706" s="35">
        <v>49</v>
      </c>
      <c r="J706" s="35">
        <v>208</v>
      </c>
      <c r="K706" s="35">
        <v>48</v>
      </c>
      <c r="L706" s="37">
        <f t="shared" si="0"/>
        <v>97.959183673469383</v>
      </c>
      <c r="M706" s="35">
        <v>21</v>
      </c>
      <c r="N706" s="38">
        <f t="shared" si="1"/>
        <v>42.857142857142854</v>
      </c>
      <c r="O706" s="35">
        <v>21</v>
      </c>
      <c r="P706" s="38">
        <f t="shared" si="2"/>
        <v>100</v>
      </c>
      <c r="Q706" s="134" t="s">
        <v>82</v>
      </c>
      <c r="R706" s="134" t="str">
        <f t="shared" si="3"/>
        <v>X</v>
      </c>
      <c r="S706" s="135" t="s">
        <v>60</v>
      </c>
      <c r="T706" s="34" t="str">
        <f>IF('PL1(Full)'!$N706&gt;=20,"x",IF(AND('PL1(Full)'!$N706&gt;=15,'PL1(Full)'!$P706&gt;60),"x",""))</f>
        <v>x</v>
      </c>
      <c r="U706" s="34" t="str">
        <f>IF(AND('PL1(Full)'!$H706="Thôn",'PL1(Full)'!$I706&lt;75),"x",IF(AND('PL1(Full)'!$H706="Tổ",'PL1(Full)'!$I706&lt;100),"x","-"))</f>
        <v>x</v>
      </c>
      <c r="V706" s="34" t="str">
        <f>IF(AND('PL1(Full)'!$H706="Thôn",'PL1(Full)'!$I706&lt;140),"x",IF(AND('PL1(Full)'!$H706="Tổ",'PL1(Full)'!$I706&lt;210),"x","-"))</f>
        <v>x</v>
      </c>
      <c r="W706" s="40" t="str">
        <f t="shared" si="114"/>
        <v>Loại 3</v>
      </c>
      <c r="X706" s="32"/>
    </row>
    <row r="707" spans="1:24" ht="15.75" customHeight="1">
      <c r="A707" s="30">
        <f>_xlfn.AGGREGATE(4,7,A$6:A706)+1</f>
        <v>496</v>
      </c>
      <c r="B707" s="66" t="str">
        <f t="shared" ref="B707:C707" si="129">B706</f>
        <v>H. Na Rì</v>
      </c>
      <c r="C707" s="33" t="str">
        <f t="shared" si="129"/>
        <v>TT. Yến Lạc</v>
      </c>
      <c r="D707" s="32"/>
      <c r="E707" s="32" t="s">
        <v>36</v>
      </c>
      <c r="F707" s="33" t="s">
        <v>788</v>
      </c>
      <c r="G707" s="32"/>
      <c r="H707" s="32" t="str">
        <f>IF(LEFT('PL1(Full)'!$F707,4)="Thôn","Thôn","Tổ")</f>
        <v>Thôn</v>
      </c>
      <c r="I707" s="35">
        <v>37</v>
      </c>
      <c r="J707" s="35">
        <v>155</v>
      </c>
      <c r="K707" s="35">
        <v>35</v>
      </c>
      <c r="L707" s="37">
        <f t="shared" si="0"/>
        <v>94.594594594594597</v>
      </c>
      <c r="M707" s="35">
        <v>27</v>
      </c>
      <c r="N707" s="38">
        <f t="shared" si="1"/>
        <v>72.972972972972968</v>
      </c>
      <c r="O707" s="35">
        <v>25</v>
      </c>
      <c r="P707" s="38">
        <f t="shared" si="2"/>
        <v>92.592592592592595</v>
      </c>
      <c r="Q707" s="134" t="s">
        <v>63</v>
      </c>
      <c r="R707" s="134" t="str">
        <f t="shared" si="3"/>
        <v>X</v>
      </c>
      <c r="S707" s="135"/>
      <c r="T707" s="34" t="str">
        <f>IF('PL1(Full)'!$N707&gt;=20,"x",IF(AND('PL1(Full)'!$N707&gt;=15,'PL1(Full)'!$P707&gt;60),"x",""))</f>
        <v>x</v>
      </c>
      <c r="U707" s="34" t="str">
        <f>IF(AND('PL1(Full)'!$H707="Thôn",'PL1(Full)'!$I707&lt;75),"x",IF(AND('PL1(Full)'!$H707="Tổ",'PL1(Full)'!$I707&lt;100),"x","-"))</f>
        <v>x</v>
      </c>
      <c r="V707" s="34" t="str">
        <f>IF(AND('PL1(Full)'!$H707="Thôn",'PL1(Full)'!$I707&lt;140),"x",IF(AND('PL1(Full)'!$H707="Tổ",'PL1(Full)'!$I707&lt;210),"x","-"))</f>
        <v>x</v>
      </c>
      <c r="W707" s="40" t="str">
        <f t="shared" si="114"/>
        <v>Loại 3</v>
      </c>
      <c r="X707" s="32"/>
    </row>
    <row r="708" spans="1:24" ht="15.75" customHeight="1">
      <c r="A708" s="30">
        <f>_xlfn.AGGREGATE(4,7,A$6:A707)+1</f>
        <v>497</v>
      </c>
      <c r="B708" s="66" t="str">
        <f t="shared" ref="B708:C708" si="130">B707</f>
        <v>H. Na Rì</v>
      </c>
      <c r="C708" s="33" t="str">
        <f t="shared" si="130"/>
        <v>TT. Yến Lạc</v>
      </c>
      <c r="D708" s="32"/>
      <c r="E708" s="32" t="s">
        <v>36</v>
      </c>
      <c r="F708" s="33" t="s">
        <v>360</v>
      </c>
      <c r="G708" s="32"/>
      <c r="H708" s="32" t="str">
        <f>IF(LEFT('PL1(Full)'!$F708,4)="Thôn","Thôn","Tổ")</f>
        <v>Thôn</v>
      </c>
      <c r="I708" s="35">
        <v>53</v>
      </c>
      <c r="J708" s="35">
        <v>250</v>
      </c>
      <c r="K708" s="35">
        <v>49</v>
      </c>
      <c r="L708" s="37">
        <f t="shared" si="0"/>
        <v>92.452830188679243</v>
      </c>
      <c r="M708" s="35">
        <v>1</v>
      </c>
      <c r="N708" s="38">
        <f t="shared" si="1"/>
        <v>1.8867924528301887</v>
      </c>
      <c r="O708" s="35">
        <v>1</v>
      </c>
      <c r="P708" s="38">
        <f t="shared" si="2"/>
        <v>100</v>
      </c>
      <c r="Q708" s="134" t="s">
        <v>82</v>
      </c>
      <c r="R708" s="134" t="str">
        <f t="shared" si="3"/>
        <v>X</v>
      </c>
      <c r="S708" s="135"/>
      <c r="T708" s="34" t="str">
        <f>IF('PL1(Full)'!$N708&gt;=20,"x",IF(AND('PL1(Full)'!$N708&gt;=15,'PL1(Full)'!$P708&gt;60),"x",""))</f>
        <v/>
      </c>
      <c r="U708" s="34" t="str">
        <f>IF(AND('PL1(Full)'!$H708="Thôn",'PL1(Full)'!$I708&lt;75),"x",IF(AND('PL1(Full)'!$H708="Tổ",'PL1(Full)'!$I708&lt;100),"x","-"))</f>
        <v>x</v>
      </c>
      <c r="V708" s="34" t="str">
        <f>IF(AND('PL1(Full)'!$H708="Thôn",'PL1(Full)'!$I708&lt;140),"x",IF(AND('PL1(Full)'!$H708="Tổ",'PL1(Full)'!$I708&lt;210),"x","-"))</f>
        <v>x</v>
      </c>
      <c r="W708" s="40" t="str">
        <f t="shared" si="114"/>
        <v>Loại 3</v>
      </c>
      <c r="X708" s="32"/>
    </row>
    <row r="709" spans="1:24" ht="15.75" customHeight="1">
      <c r="A709" s="30">
        <f>_xlfn.AGGREGATE(4,7,A$6:A708)+1</f>
        <v>498</v>
      </c>
      <c r="B709" s="66" t="str">
        <f t="shared" ref="B709:C709" si="131">B708</f>
        <v>H. Na Rì</v>
      </c>
      <c r="C709" s="33" t="str">
        <f t="shared" si="131"/>
        <v>TT. Yến Lạc</v>
      </c>
      <c r="D709" s="32"/>
      <c r="E709" s="32" t="s">
        <v>36</v>
      </c>
      <c r="F709" s="33" t="s">
        <v>362</v>
      </c>
      <c r="G709" s="32"/>
      <c r="H709" s="32" t="str">
        <f>IF(LEFT('PL1(Full)'!$F709,4)="Thôn","Thôn","Tổ")</f>
        <v>Thôn</v>
      </c>
      <c r="I709" s="35">
        <v>73</v>
      </c>
      <c r="J709" s="35">
        <v>287</v>
      </c>
      <c r="K709" s="35">
        <v>60</v>
      </c>
      <c r="L709" s="37">
        <f t="shared" si="0"/>
        <v>82.191780821917803</v>
      </c>
      <c r="M709" s="35">
        <v>9</v>
      </c>
      <c r="N709" s="38">
        <f t="shared" si="1"/>
        <v>12.328767123287671</v>
      </c>
      <c r="O709" s="35">
        <v>8</v>
      </c>
      <c r="P709" s="38">
        <f t="shared" si="2"/>
        <v>88.888888888888886</v>
      </c>
      <c r="Q709" s="134" t="s">
        <v>789</v>
      </c>
      <c r="R709" s="134" t="str">
        <f t="shared" si="3"/>
        <v>X</v>
      </c>
      <c r="S709" s="135"/>
      <c r="T709" s="34" t="str">
        <f>IF('PL1(Full)'!$N709&gt;=20,"x",IF(AND('PL1(Full)'!$N709&gt;=15,'PL1(Full)'!$P709&gt;60),"x",""))</f>
        <v/>
      </c>
      <c r="U709" s="34" t="str">
        <f>IF(AND('PL1(Full)'!$H709="Thôn",'PL1(Full)'!$I709&lt;75),"x",IF(AND('PL1(Full)'!$H709="Tổ",'PL1(Full)'!$I709&lt;100),"x","-"))</f>
        <v>x</v>
      </c>
      <c r="V709" s="34" t="str">
        <f>IF(AND('PL1(Full)'!$H709="Thôn",'PL1(Full)'!$I709&lt;140),"x",IF(AND('PL1(Full)'!$H709="Tổ",'PL1(Full)'!$I709&lt;210),"x","-"))</f>
        <v>x</v>
      </c>
      <c r="W709" s="40" t="str">
        <f t="shared" si="114"/>
        <v>Loại 3</v>
      </c>
      <c r="X709" s="32"/>
    </row>
    <row r="710" spans="1:24" ht="15.75" customHeight="1">
      <c r="A710" s="30">
        <f>_xlfn.AGGREGATE(4,7,A$6:A709)+1</f>
        <v>499</v>
      </c>
      <c r="B710" s="66" t="str">
        <f t="shared" ref="B710:C710" si="132">B709</f>
        <v>H. Na Rì</v>
      </c>
      <c r="C710" s="33" t="str">
        <f t="shared" si="132"/>
        <v>TT. Yến Lạc</v>
      </c>
      <c r="D710" s="32"/>
      <c r="E710" s="32" t="s">
        <v>36</v>
      </c>
      <c r="F710" s="33" t="s">
        <v>790</v>
      </c>
      <c r="G710" s="32"/>
      <c r="H710" s="32" t="str">
        <f>IF(LEFT('PL1(Full)'!$F710,4)="Thôn","Thôn","Tổ")</f>
        <v>Thôn</v>
      </c>
      <c r="I710" s="35">
        <v>67</v>
      </c>
      <c r="J710" s="35">
        <v>265</v>
      </c>
      <c r="K710" s="35">
        <v>44</v>
      </c>
      <c r="L710" s="37">
        <f t="shared" si="0"/>
        <v>65.671641791044777</v>
      </c>
      <c r="M710" s="35">
        <v>2</v>
      </c>
      <c r="N710" s="38">
        <f t="shared" si="1"/>
        <v>2.9850746268656718</v>
      </c>
      <c r="O710" s="35">
        <v>1</v>
      </c>
      <c r="P710" s="38">
        <f t="shared" si="2"/>
        <v>50</v>
      </c>
      <c r="Q710" s="134" t="s">
        <v>56</v>
      </c>
      <c r="R710" s="134" t="str">
        <f t="shared" si="3"/>
        <v>X</v>
      </c>
      <c r="S710" s="135"/>
      <c r="T710" s="34" t="str">
        <f>IF('PL1(Full)'!$N710&gt;=20,"x",IF(AND('PL1(Full)'!$N710&gt;=15,'PL1(Full)'!$P710&gt;60),"x",""))</f>
        <v/>
      </c>
      <c r="U710" s="34" t="str">
        <f>IF(AND('PL1(Full)'!$H710="Thôn",'PL1(Full)'!$I710&lt;75),"x",IF(AND('PL1(Full)'!$H710="Tổ",'PL1(Full)'!$I710&lt;100),"x","-"))</f>
        <v>x</v>
      </c>
      <c r="V710" s="34" t="str">
        <f>IF(AND('PL1(Full)'!$H710="Thôn",'PL1(Full)'!$I710&lt;140),"x",IF(AND('PL1(Full)'!$H710="Tổ",'PL1(Full)'!$I710&lt;210),"x","-"))</f>
        <v>x</v>
      </c>
      <c r="W710" s="40" t="str">
        <f t="shared" si="114"/>
        <v>Loại 3</v>
      </c>
      <c r="X710" s="32"/>
    </row>
    <row r="711" spans="1:24" ht="15.75" customHeight="1">
      <c r="A711" s="30">
        <f>_xlfn.AGGREGATE(4,7,A$6:A710)+1</f>
        <v>500</v>
      </c>
      <c r="B711" s="66" t="str">
        <f t="shared" ref="B711:C711" si="133">B710</f>
        <v>H. Na Rì</v>
      </c>
      <c r="C711" s="33" t="str">
        <f t="shared" si="133"/>
        <v>TT. Yến Lạc</v>
      </c>
      <c r="D711" s="32"/>
      <c r="E711" s="32" t="s">
        <v>36</v>
      </c>
      <c r="F711" s="33" t="s">
        <v>791</v>
      </c>
      <c r="G711" s="32"/>
      <c r="H711" s="32" t="str">
        <f>IF(LEFT('PL1(Full)'!$F711,4)="Thôn","Thôn","Tổ")</f>
        <v>Tổ</v>
      </c>
      <c r="I711" s="35">
        <v>93</v>
      </c>
      <c r="J711" s="35">
        <v>345</v>
      </c>
      <c r="K711" s="35">
        <v>78</v>
      </c>
      <c r="L711" s="37">
        <f t="shared" si="0"/>
        <v>83.870967741935488</v>
      </c>
      <c r="M711" s="35">
        <v>6</v>
      </c>
      <c r="N711" s="38">
        <f t="shared" si="1"/>
        <v>6.4516129032258061</v>
      </c>
      <c r="O711" s="35">
        <v>5</v>
      </c>
      <c r="P711" s="38">
        <f t="shared" si="2"/>
        <v>83.333333333333329</v>
      </c>
      <c r="Q711" s="134" t="s">
        <v>47</v>
      </c>
      <c r="R711" s="134" t="str">
        <f t="shared" si="3"/>
        <v>X</v>
      </c>
      <c r="S711" s="135"/>
      <c r="T711" s="34" t="str">
        <f>IF('PL1(Full)'!$N711&gt;=20,"x",IF(AND('PL1(Full)'!$N711&gt;=15,'PL1(Full)'!$P711&gt;60),"x",""))</f>
        <v/>
      </c>
      <c r="U711" s="34" t="str">
        <f>IF(AND('PL1(Full)'!$H711="Thôn",'PL1(Full)'!$I711&lt;75),"x",IF(AND('PL1(Full)'!$H711="Tổ",'PL1(Full)'!$I711&lt;100),"x","-"))</f>
        <v>x</v>
      </c>
      <c r="V711" s="34" t="str">
        <f>IF(AND('PL1(Full)'!$H711="Thôn",'PL1(Full)'!$I711&lt;140),"x",IF(AND('PL1(Full)'!$H711="Tổ",'PL1(Full)'!$I711&lt;210),"x","-"))</f>
        <v>x</v>
      </c>
      <c r="W711" s="40" t="str">
        <f t="shared" ref="W711:W723" si="134">IF(I711&gt;=200,"Loại 1",IF(I711&gt;=150,"Loại 2","Loại 3"))</f>
        <v>Loại 3</v>
      </c>
      <c r="X711" s="32"/>
    </row>
    <row r="712" spans="1:24" ht="15.75" customHeight="1">
      <c r="A712" s="30">
        <f>_xlfn.AGGREGATE(4,7,A$6:A711)+1</f>
        <v>501</v>
      </c>
      <c r="B712" s="66" t="str">
        <f t="shared" ref="B712:C712" si="135">B711</f>
        <v>H. Na Rì</v>
      </c>
      <c r="C712" s="33" t="str">
        <f t="shared" si="135"/>
        <v>TT. Yến Lạc</v>
      </c>
      <c r="D712" s="32"/>
      <c r="E712" s="32" t="s">
        <v>36</v>
      </c>
      <c r="F712" s="33" t="s">
        <v>792</v>
      </c>
      <c r="G712" s="32"/>
      <c r="H712" s="32" t="str">
        <f>IF(LEFT('PL1(Full)'!$F712,4)="Thôn","Thôn","Tổ")</f>
        <v>Tổ</v>
      </c>
      <c r="I712" s="35">
        <v>46</v>
      </c>
      <c r="J712" s="35">
        <v>166</v>
      </c>
      <c r="K712" s="35">
        <v>45</v>
      </c>
      <c r="L712" s="37">
        <f t="shared" si="0"/>
        <v>97.826086956521735</v>
      </c>
      <c r="M712" s="35">
        <v>4</v>
      </c>
      <c r="N712" s="38">
        <f t="shared" si="1"/>
        <v>8.695652173913043</v>
      </c>
      <c r="O712" s="35">
        <v>3</v>
      </c>
      <c r="P712" s="38">
        <f t="shared" si="2"/>
        <v>75</v>
      </c>
      <c r="Q712" s="134" t="s">
        <v>793</v>
      </c>
      <c r="R712" s="134" t="str">
        <f t="shared" si="3"/>
        <v>X</v>
      </c>
      <c r="S712" s="135" t="s">
        <v>60</v>
      </c>
      <c r="T712" s="34" t="str">
        <f>IF('PL1(Full)'!$N712&gt;=20,"x",IF(AND('PL1(Full)'!$N712&gt;=15,'PL1(Full)'!$P712&gt;60),"x",""))</f>
        <v/>
      </c>
      <c r="U712" s="34" t="str">
        <f>IF(AND('PL1(Full)'!$H712="Thôn",'PL1(Full)'!$I712&lt;75),"x",IF(AND('PL1(Full)'!$H712="Tổ",'PL1(Full)'!$I712&lt;100),"x","-"))</f>
        <v>x</v>
      </c>
      <c r="V712" s="34" t="str">
        <f>IF(AND('PL1(Full)'!$H712="Thôn",'PL1(Full)'!$I712&lt;140),"x",IF(AND('PL1(Full)'!$H712="Tổ",'PL1(Full)'!$I712&lt;210),"x","-"))</f>
        <v>x</v>
      </c>
      <c r="W712" s="40" t="str">
        <f t="shared" si="134"/>
        <v>Loại 3</v>
      </c>
      <c r="X712" s="32"/>
    </row>
    <row r="713" spans="1:24" ht="15.75" customHeight="1">
      <c r="A713" s="30">
        <f>_xlfn.AGGREGATE(4,7,A$6:A712)+1</f>
        <v>502</v>
      </c>
      <c r="B713" s="66" t="str">
        <f t="shared" ref="B713:C713" si="136">B712</f>
        <v>H. Na Rì</v>
      </c>
      <c r="C713" s="33" t="str">
        <f t="shared" si="136"/>
        <v>TT. Yến Lạc</v>
      </c>
      <c r="D713" s="32"/>
      <c r="E713" s="32" t="s">
        <v>36</v>
      </c>
      <c r="F713" s="33" t="s">
        <v>794</v>
      </c>
      <c r="G713" s="32"/>
      <c r="H713" s="32" t="str">
        <f>IF(LEFT('PL1(Full)'!$F713,4)="Thôn","Thôn","Tổ")</f>
        <v>Tổ</v>
      </c>
      <c r="I713" s="35">
        <v>53</v>
      </c>
      <c r="J713" s="35">
        <v>191</v>
      </c>
      <c r="K713" s="35">
        <v>48</v>
      </c>
      <c r="L713" s="37">
        <f t="shared" si="0"/>
        <v>90.566037735849051</v>
      </c>
      <c r="M713" s="35">
        <v>5</v>
      </c>
      <c r="N713" s="38">
        <f t="shared" si="1"/>
        <v>9.433962264150944</v>
      </c>
      <c r="O713" s="35">
        <v>5</v>
      </c>
      <c r="P713" s="38">
        <f t="shared" si="2"/>
        <v>100</v>
      </c>
      <c r="Q713" s="134" t="s">
        <v>63</v>
      </c>
      <c r="R713" s="134" t="str">
        <f t="shared" si="3"/>
        <v>X</v>
      </c>
      <c r="S713" s="135"/>
      <c r="T713" s="34" t="str">
        <f>IF('PL1(Full)'!$N713&gt;=20,"x",IF(AND('PL1(Full)'!$N713&gt;=15,'PL1(Full)'!$P713&gt;60),"x",""))</f>
        <v/>
      </c>
      <c r="U713" s="34" t="str">
        <f>IF(AND('PL1(Full)'!$H713="Thôn",'PL1(Full)'!$I713&lt;75),"x",IF(AND('PL1(Full)'!$H713="Tổ",'PL1(Full)'!$I713&lt;100),"x","-"))</f>
        <v>x</v>
      </c>
      <c r="V713" s="34" t="str">
        <f>IF(AND('PL1(Full)'!$H713="Thôn",'PL1(Full)'!$I713&lt;140),"x",IF(AND('PL1(Full)'!$H713="Tổ",'PL1(Full)'!$I713&lt;210),"x","-"))</f>
        <v>x</v>
      </c>
      <c r="W713" s="40" t="str">
        <f t="shared" si="134"/>
        <v>Loại 3</v>
      </c>
      <c r="X713" s="32"/>
    </row>
    <row r="714" spans="1:24" ht="15.75" hidden="1" customHeight="1">
      <c r="A714" s="30">
        <f>_xlfn.AGGREGATE(4,7,A$6:A713)+1</f>
        <v>503</v>
      </c>
      <c r="B714" s="66" t="str">
        <f t="shared" ref="B714:C714" si="137">B713</f>
        <v>H. Na Rì</v>
      </c>
      <c r="C714" s="33" t="str">
        <f t="shared" si="137"/>
        <v>TT. Yến Lạc</v>
      </c>
      <c r="D714" s="32"/>
      <c r="E714" s="32" t="s">
        <v>36</v>
      </c>
      <c r="F714" s="33" t="s">
        <v>795</v>
      </c>
      <c r="G714" s="32"/>
      <c r="H714" s="32" t="str">
        <f>IF(LEFT('PL1(Full)'!$F714,4)="Thôn","Thôn","Tổ")</f>
        <v>Tổ</v>
      </c>
      <c r="I714" s="35">
        <v>150</v>
      </c>
      <c r="J714" s="35">
        <v>585</v>
      </c>
      <c r="K714" s="35">
        <v>110</v>
      </c>
      <c r="L714" s="37">
        <f t="shared" si="0"/>
        <v>73.333333333333329</v>
      </c>
      <c r="M714" s="35">
        <v>4</v>
      </c>
      <c r="N714" s="38">
        <f t="shared" si="1"/>
        <v>2.6666666666666665</v>
      </c>
      <c r="O714" s="35">
        <v>2</v>
      </c>
      <c r="P714" s="38">
        <f t="shared" si="2"/>
        <v>50</v>
      </c>
      <c r="Q714" s="134" t="s">
        <v>796</v>
      </c>
      <c r="R714" s="134" t="str">
        <f t="shared" si="3"/>
        <v>X</v>
      </c>
      <c r="S714" s="135"/>
      <c r="T714" s="34" t="str">
        <f>IF('PL1(Full)'!$N714&gt;=20,"x",IF(AND('PL1(Full)'!$N714&gt;=15,'PL1(Full)'!$P714&gt;60),"x",""))</f>
        <v/>
      </c>
      <c r="U714" s="34" t="str">
        <f>IF(AND('PL1(Full)'!$H714="Thôn",'PL1(Full)'!$I714&lt;75),"x",IF(AND('PL1(Full)'!$H714="Tổ",'PL1(Full)'!$I714&lt;100),"x","-"))</f>
        <v>-</v>
      </c>
      <c r="V714" s="34" t="str">
        <f>IF(AND('PL1(Full)'!$H714="Thôn",'PL1(Full)'!$I714&lt;140),"x",IF(AND('PL1(Full)'!$H714="Tổ",'PL1(Full)'!$I714&lt;210),"x","-"))</f>
        <v>x</v>
      </c>
      <c r="W714" s="40" t="str">
        <f t="shared" si="134"/>
        <v>Loại 2</v>
      </c>
      <c r="X714" s="32"/>
    </row>
    <row r="715" spans="1:24" ht="15.75" customHeight="1">
      <c r="A715" s="30">
        <f>_xlfn.AGGREGATE(4,7,A$6:A714)+1</f>
        <v>503</v>
      </c>
      <c r="B715" s="66" t="str">
        <f t="shared" ref="B715:C715" si="138">B714</f>
        <v>H. Na Rì</v>
      </c>
      <c r="C715" s="33" t="str">
        <f t="shared" si="138"/>
        <v>TT. Yến Lạc</v>
      </c>
      <c r="D715" s="32"/>
      <c r="E715" s="32" t="s">
        <v>36</v>
      </c>
      <c r="F715" s="33" t="s">
        <v>797</v>
      </c>
      <c r="G715" s="32"/>
      <c r="H715" s="32" t="str">
        <f>IF(LEFT('PL1(Full)'!$F715,4)="Thôn","Thôn","Tổ")</f>
        <v>Tổ</v>
      </c>
      <c r="I715" s="35">
        <v>92</v>
      </c>
      <c r="J715" s="35">
        <v>438</v>
      </c>
      <c r="K715" s="35">
        <v>52</v>
      </c>
      <c r="L715" s="37">
        <f t="shared" si="0"/>
        <v>56.521739130434781</v>
      </c>
      <c r="M715" s="35">
        <v>8</v>
      </c>
      <c r="N715" s="38">
        <f t="shared" si="1"/>
        <v>8.695652173913043</v>
      </c>
      <c r="O715" s="35">
        <v>3</v>
      </c>
      <c r="P715" s="38">
        <f t="shared" si="2"/>
        <v>37.5</v>
      </c>
      <c r="Q715" s="134" t="s">
        <v>49</v>
      </c>
      <c r="R715" s="134" t="str">
        <f t="shared" si="3"/>
        <v>X</v>
      </c>
      <c r="S715" s="135"/>
      <c r="T715" s="34" t="str">
        <f>IF('PL1(Full)'!$N715&gt;=20,"x",IF(AND('PL1(Full)'!$N715&gt;=15,'PL1(Full)'!$P715&gt;60),"x",""))</f>
        <v/>
      </c>
      <c r="U715" s="34" t="str">
        <f>IF(AND('PL1(Full)'!$H715="Thôn",'PL1(Full)'!$I715&lt;75),"x",IF(AND('PL1(Full)'!$H715="Tổ",'PL1(Full)'!$I715&lt;100),"x","-"))</f>
        <v>x</v>
      </c>
      <c r="V715" s="34" t="str">
        <f>IF(AND('PL1(Full)'!$H715="Thôn",'PL1(Full)'!$I715&lt;140),"x",IF(AND('PL1(Full)'!$H715="Tổ",'PL1(Full)'!$I715&lt;210),"x","-"))</f>
        <v>x</v>
      </c>
      <c r="W715" s="40" t="str">
        <f t="shared" si="134"/>
        <v>Loại 3</v>
      </c>
      <c r="X715" s="32"/>
    </row>
    <row r="716" spans="1:24" ht="15.75" customHeight="1">
      <c r="A716" s="30">
        <f>_xlfn.AGGREGATE(4,7,A$6:A715)+1</f>
        <v>504</v>
      </c>
      <c r="B716" s="66" t="str">
        <f t="shared" ref="B716:C716" si="139">B715</f>
        <v>H. Na Rì</v>
      </c>
      <c r="C716" s="33" t="str">
        <f t="shared" si="139"/>
        <v>TT. Yến Lạc</v>
      </c>
      <c r="D716" s="32"/>
      <c r="E716" s="32" t="s">
        <v>36</v>
      </c>
      <c r="F716" s="33" t="s">
        <v>798</v>
      </c>
      <c r="G716" s="32"/>
      <c r="H716" s="32" t="str">
        <f>IF(LEFT('PL1(Full)'!$F716,4)="Thôn","Thôn","Tổ")</f>
        <v>Tổ</v>
      </c>
      <c r="I716" s="35">
        <v>99</v>
      </c>
      <c r="J716" s="35">
        <v>373</v>
      </c>
      <c r="K716" s="35">
        <v>84</v>
      </c>
      <c r="L716" s="37">
        <f t="shared" si="0"/>
        <v>84.848484848484844</v>
      </c>
      <c r="M716" s="35">
        <v>8</v>
      </c>
      <c r="N716" s="38">
        <f t="shared" si="1"/>
        <v>8.0808080808080813</v>
      </c>
      <c r="O716" s="35">
        <v>7</v>
      </c>
      <c r="P716" s="38">
        <f t="shared" si="2"/>
        <v>87.5</v>
      </c>
      <c r="Q716" s="134" t="s">
        <v>49</v>
      </c>
      <c r="R716" s="134" t="str">
        <f t="shared" si="3"/>
        <v>X</v>
      </c>
      <c r="S716" s="135"/>
      <c r="T716" s="34" t="str">
        <f>IF('PL1(Full)'!$N716&gt;=20,"x",IF(AND('PL1(Full)'!$N716&gt;=15,'PL1(Full)'!$P716&gt;60),"x",""))</f>
        <v/>
      </c>
      <c r="U716" s="34" t="str">
        <f>IF(AND('PL1(Full)'!$H716="Thôn",'PL1(Full)'!$I716&lt;75),"x",IF(AND('PL1(Full)'!$H716="Tổ",'PL1(Full)'!$I716&lt;100),"x","-"))</f>
        <v>x</v>
      </c>
      <c r="V716" s="34" t="str">
        <f>IF(AND('PL1(Full)'!$H716="Thôn",'PL1(Full)'!$I716&lt;140),"x",IF(AND('PL1(Full)'!$H716="Tổ",'PL1(Full)'!$I716&lt;210),"x","-"))</f>
        <v>x</v>
      </c>
      <c r="W716" s="40" t="str">
        <f t="shared" si="134"/>
        <v>Loại 3</v>
      </c>
      <c r="X716" s="32"/>
    </row>
    <row r="717" spans="1:24" ht="15.75" customHeight="1">
      <c r="A717" s="30">
        <f>_xlfn.AGGREGATE(4,7,A$6:A716)+1</f>
        <v>505</v>
      </c>
      <c r="B717" s="66" t="str">
        <f t="shared" ref="B717:C717" si="140">B716</f>
        <v>H. Na Rì</v>
      </c>
      <c r="C717" s="33" t="str">
        <f t="shared" si="140"/>
        <v>TT. Yến Lạc</v>
      </c>
      <c r="D717" s="32"/>
      <c r="E717" s="32" t="s">
        <v>36</v>
      </c>
      <c r="F717" s="33" t="s">
        <v>799</v>
      </c>
      <c r="G717" s="32"/>
      <c r="H717" s="32" t="str">
        <f>IF(LEFT('PL1(Full)'!$F717,4)="Thôn","Thôn","Tổ")</f>
        <v>Tổ</v>
      </c>
      <c r="I717" s="35">
        <v>84</v>
      </c>
      <c r="J717" s="35">
        <v>335</v>
      </c>
      <c r="K717" s="35">
        <v>64</v>
      </c>
      <c r="L717" s="37">
        <f t="shared" si="0"/>
        <v>76.19047619047619</v>
      </c>
      <c r="M717" s="35">
        <v>3</v>
      </c>
      <c r="N717" s="38">
        <f t="shared" si="1"/>
        <v>3.5714285714285716</v>
      </c>
      <c r="O717" s="35">
        <v>2</v>
      </c>
      <c r="P717" s="38">
        <f t="shared" si="2"/>
        <v>66.666666666666671</v>
      </c>
      <c r="Q717" s="134" t="s">
        <v>800</v>
      </c>
      <c r="R717" s="134" t="str">
        <f t="shared" si="3"/>
        <v>X</v>
      </c>
      <c r="S717" s="135"/>
      <c r="T717" s="34" t="str">
        <f>IF('PL1(Full)'!$N717&gt;=20,"x",IF(AND('PL1(Full)'!$N717&gt;=15,'PL1(Full)'!$P717&gt;60),"x",""))</f>
        <v/>
      </c>
      <c r="U717" s="34" t="str">
        <f>IF(AND('PL1(Full)'!$H717="Thôn",'PL1(Full)'!$I717&lt;75),"x",IF(AND('PL1(Full)'!$H717="Tổ",'PL1(Full)'!$I717&lt;100),"x","-"))</f>
        <v>x</v>
      </c>
      <c r="V717" s="34" t="str">
        <f>IF(AND('PL1(Full)'!$H717="Thôn",'PL1(Full)'!$I717&lt;140),"x",IF(AND('PL1(Full)'!$H717="Tổ",'PL1(Full)'!$I717&lt;210),"x","-"))</f>
        <v>x</v>
      </c>
      <c r="W717" s="40" t="str">
        <f t="shared" si="134"/>
        <v>Loại 3</v>
      </c>
      <c r="X717" s="32"/>
    </row>
    <row r="718" spans="1:24" ht="15.75" customHeight="1">
      <c r="A718" s="30">
        <f>_xlfn.AGGREGATE(4,7,A$6:A717)+1</f>
        <v>506</v>
      </c>
      <c r="B718" s="66" t="str">
        <f t="shared" ref="B718:C718" si="141">B717</f>
        <v>H. Na Rì</v>
      </c>
      <c r="C718" s="33" t="str">
        <f t="shared" si="141"/>
        <v>TT. Yến Lạc</v>
      </c>
      <c r="D718" s="32"/>
      <c r="E718" s="32" t="s">
        <v>36</v>
      </c>
      <c r="F718" s="33" t="s">
        <v>801</v>
      </c>
      <c r="G718" s="32"/>
      <c r="H718" s="32" t="str">
        <f>IF(LEFT('PL1(Full)'!$F718,4)="Thôn","Thôn","Tổ")</f>
        <v>Tổ</v>
      </c>
      <c r="I718" s="35">
        <v>55</v>
      </c>
      <c r="J718" s="35">
        <v>235</v>
      </c>
      <c r="K718" s="35">
        <v>53</v>
      </c>
      <c r="L718" s="37">
        <f t="shared" si="0"/>
        <v>96.36363636363636</v>
      </c>
      <c r="M718" s="35">
        <v>3</v>
      </c>
      <c r="N718" s="38">
        <f t="shared" si="1"/>
        <v>5.4545454545454541</v>
      </c>
      <c r="O718" s="35">
        <v>3</v>
      </c>
      <c r="P718" s="38">
        <f t="shared" si="2"/>
        <v>100</v>
      </c>
      <c r="Q718" s="134" t="s">
        <v>56</v>
      </c>
      <c r="R718" s="134" t="str">
        <f t="shared" si="3"/>
        <v>X</v>
      </c>
      <c r="S718" s="135"/>
      <c r="T718" s="34" t="str">
        <f>IF('PL1(Full)'!$N718&gt;=20,"x",IF(AND('PL1(Full)'!$N718&gt;=15,'PL1(Full)'!$P718&gt;60),"x",""))</f>
        <v/>
      </c>
      <c r="U718" s="34" t="str">
        <f>IF(AND('PL1(Full)'!$H718="Thôn",'PL1(Full)'!$I718&lt;75),"x",IF(AND('PL1(Full)'!$H718="Tổ",'PL1(Full)'!$I718&lt;100),"x","-"))</f>
        <v>x</v>
      </c>
      <c r="V718" s="34" t="str">
        <f>IF(AND('PL1(Full)'!$H718="Thôn",'PL1(Full)'!$I718&lt;140),"x",IF(AND('PL1(Full)'!$H718="Tổ",'PL1(Full)'!$I718&lt;210),"x","-"))</f>
        <v>x</v>
      </c>
      <c r="W718" s="40" t="str">
        <f t="shared" si="134"/>
        <v>Loại 3</v>
      </c>
      <c r="X718" s="32"/>
    </row>
    <row r="719" spans="1:24" ht="15.75" customHeight="1">
      <c r="A719" s="30">
        <f>_xlfn.AGGREGATE(4,7,A$6:A718)+1</f>
        <v>507</v>
      </c>
      <c r="B719" s="66" t="str">
        <f t="shared" ref="B719:C719" si="142">B718</f>
        <v>H. Na Rì</v>
      </c>
      <c r="C719" s="33" t="str">
        <f t="shared" si="142"/>
        <v>TT. Yến Lạc</v>
      </c>
      <c r="D719" s="32"/>
      <c r="E719" s="32" t="s">
        <v>36</v>
      </c>
      <c r="F719" s="33" t="s">
        <v>802</v>
      </c>
      <c r="G719" s="32"/>
      <c r="H719" s="32" t="str">
        <f>IF(LEFT('PL1(Full)'!$F719,4)="Thôn","Thôn","Tổ")</f>
        <v>Tổ</v>
      </c>
      <c r="I719" s="35">
        <v>46</v>
      </c>
      <c r="J719" s="35">
        <v>136</v>
      </c>
      <c r="K719" s="35">
        <v>43</v>
      </c>
      <c r="L719" s="37">
        <f t="shared" si="0"/>
        <v>93.478260869565219</v>
      </c>
      <c r="M719" s="35">
        <v>11</v>
      </c>
      <c r="N719" s="38">
        <f t="shared" si="1"/>
        <v>23.913043478260871</v>
      </c>
      <c r="O719" s="35">
        <v>9</v>
      </c>
      <c r="P719" s="38">
        <f t="shared" si="2"/>
        <v>81.818181818181813</v>
      </c>
      <c r="Q719" s="134" t="s">
        <v>338</v>
      </c>
      <c r="R719" s="134" t="str">
        <f t="shared" si="3"/>
        <v>X</v>
      </c>
      <c r="S719" s="135"/>
      <c r="T719" s="34" t="str">
        <f>IF('PL1(Full)'!$N719&gt;=20,"x",IF(AND('PL1(Full)'!$N719&gt;=15,'PL1(Full)'!$P719&gt;60),"x",""))</f>
        <v>x</v>
      </c>
      <c r="U719" s="34" t="str">
        <f>IF(AND('PL1(Full)'!$H719="Thôn",'PL1(Full)'!$I719&lt;75),"x",IF(AND('PL1(Full)'!$H719="Tổ",'PL1(Full)'!$I719&lt;100),"x","-"))</f>
        <v>x</v>
      </c>
      <c r="V719" s="34" t="str">
        <f>IF(AND('PL1(Full)'!$H719="Thôn",'PL1(Full)'!$I719&lt;140),"x",IF(AND('PL1(Full)'!$H719="Tổ",'PL1(Full)'!$I719&lt;210),"x","-"))</f>
        <v>x</v>
      </c>
      <c r="W719" s="40" t="str">
        <f t="shared" si="134"/>
        <v>Loại 3</v>
      </c>
      <c r="X719" s="32"/>
    </row>
    <row r="720" spans="1:24" ht="15.75" customHeight="1">
      <c r="A720" s="30">
        <f>_xlfn.AGGREGATE(4,7,A$6:A719)+1</f>
        <v>508</v>
      </c>
      <c r="B720" s="66" t="str">
        <f t="shared" ref="B720:C720" si="143">B719</f>
        <v>H. Na Rì</v>
      </c>
      <c r="C720" s="33" t="str">
        <f t="shared" si="143"/>
        <v>TT. Yến Lạc</v>
      </c>
      <c r="D720" s="32"/>
      <c r="E720" s="32" t="s">
        <v>36</v>
      </c>
      <c r="F720" s="33" t="s">
        <v>803</v>
      </c>
      <c r="G720" s="32"/>
      <c r="H720" s="32" t="str">
        <f>IF(LEFT('PL1(Full)'!$F720,4)="Thôn","Thôn","Tổ")</f>
        <v>Tổ</v>
      </c>
      <c r="I720" s="35">
        <v>57</v>
      </c>
      <c r="J720" s="35">
        <v>216</v>
      </c>
      <c r="K720" s="35">
        <v>50</v>
      </c>
      <c r="L720" s="37">
        <f t="shared" si="0"/>
        <v>87.719298245614041</v>
      </c>
      <c r="M720" s="35">
        <v>1</v>
      </c>
      <c r="N720" s="38">
        <f t="shared" si="1"/>
        <v>1.7543859649122806</v>
      </c>
      <c r="O720" s="35">
        <v>1</v>
      </c>
      <c r="P720" s="38">
        <f t="shared" si="2"/>
        <v>100</v>
      </c>
      <c r="Q720" s="134" t="s">
        <v>63</v>
      </c>
      <c r="R720" s="134" t="str">
        <f t="shared" si="3"/>
        <v>X</v>
      </c>
      <c r="S720" s="135"/>
      <c r="T720" s="34" t="str">
        <f>IF('PL1(Full)'!$N720&gt;=20,"x",IF(AND('PL1(Full)'!$N720&gt;=15,'PL1(Full)'!$P720&gt;60),"x",""))</f>
        <v/>
      </c>
      <c r="U720" s="34" t="str">
        <f>IF(AND('PL1(Full)'!$H720="Thôn",'PL1(Full)'!$I720&lt;75),"x",IF(AND('PL1(Full)'!$H720="Tổ",'PL1(Full)'!$I720&lt;100),"x","-"))</f>
        <v>x</v>
      </c>
      <c r="V720" s="34" t="str">
        <f>IF(AND('PL1(Full)'!$H720="Thôn",'PL1(Full)'!$I720&lt;140),"x",IF(AND('PL1(Full)'!$H720="Tổ",'PL1(Full)'!$I720&lt;210),"x","-"))</f>
        <v>x</v>
      </c>
      <c r="W720" s="40" t="str">
        <f t="shared" si="134"/>
        <v>Loại 3</v>
      </c>
      <c r="X720" s="32"/>
    </row>
    <row r="721" spans="1:24" ht="15.75" customHeight="1">
      <c r="A721" s="30">
        <f>_xlfn.AGGREGATE(4,7,A$6:A720)+1</f>
        <v>509</v>
      </c>
      <c r="B721" s="66" t="str">
        <f t="shared" ref="B721:C721" si="144">B720</f>
        <v>H. Na Rì</v>
      </c>
      <c r="C721" s="33" t="str">
        <f t="shared" si="144"/>
        <v>TT. Yến Lạc</v>
      </c>
      <c r="D721" s="32"/>
      <c r="E721" s="32" t="s">
        <v>36</v>
      </c>
      <c r="F721" s="33" t="s">
        <v>804</v>
      </c>
      <c r="G721" s="32"/>
      <c r="H721" s="32" t="str">
        <f>IF(LEFT('PL1(Full)'!$F721,4)="Thôn","Thôn","Tổ")</f>
        <v>Tổ</v>
      </c>
      <c r="I721" s="35">
        <v>49</v>
      </c>
      <c r="J721" s="35">
        <v>211</v>
      </c>
      <c r="K721" s="35">
        <v>41</v>
      </c>
      <c r="L721" s="37">
        <f t="shared" si="0"/>
        <v>83.673469387755105</v>
      </c>
      <c r="M721" s="35">
        <v>8</v>
      </c>
      <c r="N721" s="38">
        <f t="shared" si="1"/>
        <v>16.326530612244898</v>
      </c>
      <c r="O721" s="35">
        <v>7</v>
      </c>
      <c r="P721" s="38">
        <f t="shared" si="2"/>
        <v>87.5</v>
      </c>
      <c r="Q721" s="134" t="s">
        <v>805</v>
      </c>
      <c r="R721" s="134" t="str">
        <f t="shared" si="3"/>
        <v>X</v>
      </c>
      <c r="S721" s="135" t="s">
        <v>60</v>
      </c>
      <c r="T721" s="34" t="str">
        <f>IF('PL1(Full)'!$N721&gt;=20,"x",IF(AND('PL1(Full)'!$N721&gt;=15,'PL1(Full)'!$P721&gt;60),"x",""))</f>
        <v>x</v>
      </c>
      <c r="U721" s="34" t="str">
        <f>IF(AND('PL1(Full)'!$H721="Thôn",'PL1(Full)'!$I721&lt;75),"x",IF(AND('PL1(Full)'!$H721="Tổ",'PL1(Full)'!$I721&lt;100),"x","-"))</f>
        <v>x</v>
      </c>
      <c r="V721" s="34" t="str">
        <f>IF(AND('PL1(Full)'!$H721="Thôn",'PL1(Full)'!$I721&lt;140),"x",IF(AND('PL1(Full)'!$H721="Tổ",'PL1(Full)'!$I721&lt;210),"x","-"))</f>
        <v>x</v>
      </c>
      <c r="W721" s="40" t="str">
        <f t="shared" si="134"/>
        <v>Loại 3</v>
      </c>
      <c r="X721" s="32"/>
    </row>
    <row r="722" spans="1:24" ht="15.75" customHeight="1">
      <c r="A722" s="30">
        <f>_xlfn.AGGREGATE(4,7,A$6:A721)+1</f>
        <v>510</v>
      </c>
      <c r="B722" s="66" t="str">
        <f t="shared" ref="B722:C722" si="145">B721</f>
        <v>H. Na Rì</v>
      </c>
      <c r="C722" s="33" t="str">
        <f t="shared" si="145"/>
        <v>TT. Yến Lạc</v>
      </c>
      <c r="D722" s="32"/>
      <c r="E722" s="32" t="s">
        <v>36</v>
      </c>
      <c r="F722" s="33" t="s">
        <v>806</v>
      </c>
      <c r="G722" s="32"/>
      <c r="H722" s="32" t="str">
        <f>IF(LEFT('PL1(Full)'!$F722,4)="Thôn","Thôn","Tổ")</f>
        <v>Tổ</v>
      </c>
      <c r="I722" s="35">
        <v>81</v>
      </c>
      <c r="J722" s="35">
        <v>313</v>
      </c>
      <c r="K722" s="35">
        <v>77</v>
      </c>
      <c r="L722" s="37">
        <f t="shared" si="0"/>
        <v>95.061728395061735</v>
      </c>
      <c r="M722" s="35">
        <v>2</v>
      </c>
      <c r="N722" s="38">
        <f t="shared" si="1"/>
        <v>2.4691358024691357</v>
      </c>
      <c r="O722" s="35">
        <v>2</v>
      </c>
      <c r="P722" s="38">
        <f t="shared" si="2"/>
        <v>100</v>
      </c>
      <c r="Q722" s="134" t="s">
        <v>440</v>
      </c>
      <c r="R722" s="134" t="str">
        <f t="shared" si="3"/>
        <v>X</v>
      </c>
      <c r="S722" s="135"/>
      <c r="T722" s="34" t="str">
        <f>IF('PL1(Full)'!$N722&gt;=20,"x",IF(AND('PL1(Full)'!$N722&gt;=15,'PL1(Full)'!$P722&gt;60),"x",""))</f>
        <v/>
      </c>
      <c r="U722" s="34" t="str">
        <f>IF(AND('PL1(Full)'!$H722="Thôn",'PL1(Full)'!$I722&lt;75),"x",IF(AND('PL1(Full)'!$H722="Tổ",'PL1(Full)'!$I722&lt;100),"x","-"))</f>
        <v>x</v>
      </c>
      <c r="V722" s="34" t="str">
        <f>IF(AND('PL1(Full)'!$H722="Thôn",'PL1(Full)'!$I722&lt;140),"x",IF(AND('PL1(Full)'!$H722="Tổ",'PL1(Full)'!$I722&lt;210),"x","-"))</f>
        <v>x</v>
      </c>
      <c r="W722" s="40" t="str">
        <f t="shared" si="134"/>
        <v>Loại 3</v>
      </c>
      <c r="X722" s="32"/>
    </row>
    <row r="723" spans="1:24" ht="15.75" customHeight="1">
      <c r="A723" s="41">
        <f>_xlfn.AGGREGATE(4,7,A$6:A722)+1</f>
        <v>511</v>
      </c>
      <c r="B723" s="67" t="str">
        <f t="shared" ref="B723:C723" si="146">B722</f>
        <v>H. Na Rì</v>
      </c>
      <c r="C723" s="44" t="str">
        <f t="shared" si="146"/>
        <v>TT. Yến Lạc</v>
      </c>
      <c r="D723" s="43"/>
      <c r="E723" s="43" t="s">
        <v>36</v>
      </c>
      <c r="F723" s="44" t="s">
        <v>807</v>
      </c>
      <c r="G723" s="43"/>
      <c r="H723" s="43" t="str">
        <f>IF(LEFT('PL1(Full)'!$F723,4)="Thôn","Thôn","Tổ")</f>
        <v>Tổ</v>
      </c>
      <c r="I723" s="45">
        <v>96</v>
      </c>
      <c r="J723" s="45">
        <v>396</v>
      </c>
      <c r="K723" s="45">
        <v>81</v>
      </c>
      <c r="L723" s="47">
        <f t="shared" si="0"/>
        <v>84.375</v>
      </c>
      <c r="M723" s="45">
        <v>0</v>
      </c>
      <c r="N723" s="48">
        <f t="shared" si="1"/>
        <v>0</v>
      </c>
      <c r="O723" s="45">
        <v>0</v>
      </c>
      <c r="P723" s="48">
        <f t="shared" si="2"/>
        <v>0</v>
      </c>
      <c r="Q723" s="136" t="s">
        <v>158</v>
      </c>
      <c r="R723" s="136" t="str">
        <f t="shared" si="3"/>
        <v>X</v>
      </c>
      <c r="S723" s="137"/>
      <c r="T723" s="50"/>
      <c r="U723" s="50" t="str">
        <f>IF(AND('PL1(Full)'!$H723="Thôn",'PL1(Full)'!$I723&lt;75),"x",IF(AND('PL1(Full)'!$H723="Tổ",'PL1(Full)'!$I723&lt;100),"x","-"))</f>
        <v>x</v>
      </c>
      <c r="V723" s="34" t="str">
        <f>IF(AND('PL1(Full)'!$H723="Thôn",'PL1(Full)'!$I723&lt;140),"x",IF(AND('PL1(Full)'!$H723="Tổ",'PL1(Full)'!$I723&lt;210),"x","-"))</f>
        <v>x</v>
      </c>
      <c r="W723" s="51" t="str">
        <f t="shared" si="134"/>
        <v>Loại 3</v>
      </c>
      <c r="X723" s="43"/>
    </row>
    <row r="724" spans="1:24" ht="15.75" customHeight="1">
      <c r="A724" s="52">
        <f>_xlfn.AGGREGATE(4,7,A$6:A723)+1</f>
        <v>512</v>
      </c>
      <c r="B724" s="65" t="str">
        <f t="shared" ref="B724:B926" si="147">B723</f>
        <v>H. Na Rì</v>
      </c>
      <c r="C724" s="14" t="s">
        <v>808</v>
      </c>
      <c r="D724" s="15" t="s">
        <v>102</v>
      </c>
      <c r="E724" s="16" t="s">
        <v>102</v>
      </c>
      <c r="F724" s="17" t="s">
        <v>809</v>
      </c>
      <c r="G724" s="18"/>
      <c r="H724" s="18" t="str">
        <f>IF(LEFT('PL1(Full)'!$F724,4)="Thôn","Thôn","Tổ")</f>
        <v>Thôn</v>
      </c>
      <c r="I724" s="19">
        <v>33</v>
      </c>
      <c r="J724" s="19">
        <v>147</v>
      </c>
      <c r="K724" s="19">
        <v>33</v>
      </c>
      <c r="L724" s="21">
        <f t="shared" si="0"/>
        <v>100</v>
      </c>
      <c r="M724" s="19">
        <v>15</v>
      </c>
      <c r="N724" s="22">
        <f t="shared" si="1"/>
        <v>45.454545454545453</v>
      </c>
      <c r="O724" s="19">
        <v>15</v>
      </c>
      <c r="P724" s="22">
        <f t="shared" si="2"/>
        <v>100</v>
      </c>
      <c r="Q724" s="138" t="s">
        <v>63</v>
      </c>
      <c r="R724" s="138" t="str">
        <f t="shared" si="3"/>
        <v>X</v>
      </c>
      <c r="S724" s="139" t="s">
        <v>60</v>
      </c>
      <c r="T724" s="26" t="str">
        <f>IF('PL1(Full)'!$N724&gt;=20,"x",IF(AND('PL1(Full)'!$N724&gt;=15,'PL1(Full)'!$P724&gt;60),"x",""))</f>
        <v>x</v>
      </c>
      <c r="U724" s="27" t="str">
        <f>IF(AND('PL1(Full)'!$H724="Thôn",'PL1(Full)'!$I724&lt;75),"x",IF(AND('PL1(Full)'!$H724="Tổ",'PL1(Full)'!$I724&lt;100),"x","-"))</f>
        <v>x</v>
      </c>
      <c r="V724" s="28" t="str">
        <f>IF(AND('PL1(Full)'!$H724="Thôn",'PL1(Full)'!$I724&lt;140),"x",IF(AND('PL1(Full)'!$H724="Tổ",'PL1(Full)'!$I724&lt;210),"x","-"))</f>
        <v>x</v>
      </c>
      <c r="W724" s="29" t="str">
        <f t="shared" ref="W724:W926" si="148">IF(I724&gt;=150,"Loại 1",IF(I724&gt;=100,"Loại 2","Loại 3"))</f>
        <v>Loại 3</v>
      </c>
      <c r="X724" s="18"/>
    </row>
    <row r="725" spans="1:24" ht="15.75" customHeight="1">
      <c r="A725" s="30">
        <f>_xlfn.AGGREGATE(4,7,A$6:A724)+1</f>
        <v>513</v>
      </c>
      <c r="B725" s="66" t="str">
        <f t="shared" si="147"/>
        <v>H. Na Rì</v>
      </c>
      <c r="C725" s="33" t="str">
        <f t="shared" ref="C725:C737" si="149">C724</f>
        <v>X. Côn Minh</v>
      </c>
      <c r="D725" s="32"/>
      <c r="E725" s="32" t="s">
        <v>102</v>
      </c>
      <c r="F725" s="33" t="s">
        <v>810</v>
      </c>
      <c r="G725" s="32"/>
      <c r="H725" s="32" t="str">
        <f>IF(LEFT('PL1(Full)'!$F725,4)="Thôn","Thôn","Tổ")</f>
        <v>Thôn</v>
      </c>
      <c r="I725" s="35">
        <v>56</v>
      </c>
      <c r="J725" s="35">
        <v>241</v>
      </c>
      <c r="K725" s="35">
        <v>56</v>
      </c>
      <c r="L725" s="37">
        <f t="shared" si="0"/>
        <v>100</v>
      </c>
      <c r="M725" s="35">
        <v>5</v>
      </c>
      <c r="N725" s="38">
        <f t="shared" si="1"/>
        <v>8.9285714285714288</v>
      </c>
      <c r="O725" s="35">
        <v>5</v>
      </c>
      <c r="P725" s="38">
        <f t="shared" si="2"/>
        <v>100</v>
      </c>
      <c r="Q725" s="140" t="s">
        <v>63</v>
      </c>
      <c r="R725" s="140" t="str">
        <f t="shared" si="3"/>
        <v>X</v>
      </c>
      <c r="S725" s="141"/>
      <c r="T725" s="34" t="str">
        <f>IF('PL1(Full)'!$N725&gt;=20,"x",IF(AND('PL1(Full)'!$N725&gt;=15,'PL1(Full)'!$P725&gt;60),"x",""))</f>
        <v/>
      </c>
      <c r="U725" s="34" t="str">
        <f>IF(AND('PL1(Full)'!$H725="Thôn",'PL1(Full)'!$I725&lt;75),"x",IF(AND('PL1(Full)'!$H725="Tổ",'PL1(Full)'!$I725&lt;100),"x","-"))</f>
        <v>x</v>
      </c>
      <c r="V725" s="34" t="str">
        <f>IF(AND('PL1(Full)'!$H725="Thôn",'PL1(Full)'!$I725&lt;140),"x",IF(AND('PL1(Full)'!$H725="Tổ",'PL1(Full)'!$I725&lt;210),"x","-"))</f>
        <v>x</v>
      </c>
      <c r="W725" s="40" t="str">
        <f t="shared" si="148"/>
        <v>Loại 3</v>
      </c>
      <c r="X725" s="32"/>
    </row>
    <row r="726" spans="1:24" ht="15.75" customHeight="1">
      <c r="A726" s="30">
        <f>_xlfn.AGGREGATE(4,7,A$6:A725)+1</f>
        <v>514</v>
      </c>
      <c r="B726" s="66" t="str">
        <f t="shared" si="147"/>
        <v>H. Na Rì</v>
      </c>
      <c r="C726" s="33" t="str">
        <f t="shared" si="149"/>
        <v>X. Côn Minh</v>
      </c>
      <c r="D726" s="32"/>
      <c r="E726" s="32" t="s">
        <v>102</v>
      </c>
      <c r="F726" s="33" t="s">
        <v>811</v>
      </c>
      <c r="G726" s="32"/>
      <c r="H726" s="32" t="str">
        <f>IF(LEFT('PL1(Full)'!$F726,4)="Thôn","Thôn","Tổ")</f>
        <v>Thôn</v>
      </c>
      <c r="I726" s="35">
        <v>47</v>
      </c>
      <c r="J726" s="35">
        <v>186</v>
      </c>
      <c r="K726" s="35">
        <v>45</v>
      </c>
      <c r="L726" s="37">
        <f t="shared" si="0"/>
        <v>95.744680851063833</v>
      </c>
      <c r="M726" s="35">
        <v>10</v>
      </c>
      <c r="N726" s="38">
        <f t="shared" si="1"/>
        <v>21.276595744680851</v>
      </c>
      <c r="O726" s="35">
        <v>10</v>
      </c>
      <c r="P726" s="38">
        <f t="shared" si="2"/>
        <v>100</v>
      </c>
      <c r="Q726" s="140" t="s">
        <v>63</v>
      </c>
      <c r="R726" s="140" t="str">
        <f t="shared" si="3"/>
        <v>X</v>
      </c>
      <c r="S726" s="141"/>
      <c r="T726" s="34" t="str">
        <f>IF('PL1(Full)'!$N726&gt;=20,"x",IF(AND('PL1(Full)'!$N726&gt;=15,'PL1(Full)'!$P726&gt;60),"x",""))</f>
        <v>x</v>
      </c>
      <c r="U726" s="34" t="str">
        <f>IF(AND('PL1(Full)'!$H726="Thôn",'PL1(Full)'!$I726&lt;75),"x",IF(AND('PL1(Full)'!$H726="Tổ",'PL1(Full)'!$I726&lt;100),"x","-"))</f>
        <v>x</v>
      </c>
      <c r="V726" s="34" t="str">
        <f>IF(AND('PL1(Full)'!$H726="Thôn",'PL1(Full)'!$I726&lt;140),"x",IF(AND('PL1(Full)'!$H726="Tổ",'PL1(Full)'!$I726&lt;210),"x","-"))</f>
        <v>x</v>
      </c>
      <c r="W726" s="40" t="str">
        <f t="shared" si="148"/>
        <v>Loại 3</v>
      </c>
      <c r="X726" s="32"/>
    </row>
    <row r="727" spans="1:24" ht="15.75" hidden="1" customHeight="1">
      <c r="A727" s="30">
        <f>_xlfn.AGGREGATE(4,7,A$6:A726)+1</f>
        <v>515</v>
      </c>
      <c r="B727" s="66" t="str">
        <f t="shared" si="147"/>
        <v>H. Na Rì</v>
      </c>
      <c r="C727" s="33" t="str">
        <f t="shared" si="149"/>
        <v>X. Côn Minh</v>
      </c>
      <c r="D727" s="32"/>
      <c r="E727" s="32" t="s">
        <v>102</v>
      </c>
      <c r="F727" s="33" t="s">
        <v>87</v>
      </c>
      <c r="G727" s="32"/>
      <c r="H727" s="32" t="str">
        <f>IF(LEFT('PL1(Full)'!$F727,4)="Thôn","Thôn","Tổ")</f>
        <v>Thôn</v>
      </c>
      <c r="I727" s="35">
        <v>89</v>
      </c>
      <c r="J727" s="35">
        <v>393</v>
      </c>
      <c r="K727" s="35">
        <v>88</v>
      </c>
      <c r="L727" s="37">
        <f t="shared" si="0"/>
        <v>98.876404494382029</v>
      </c>
      <c r="M727" s="35">
        <v>13</v>
      </c>
      <c r="N727" s="38">
        <f t="shared" si="1"/>
        <v>14.606741573033707</v>
      </c>
      <c r="O727" s="35">
        <v>12</v>
      </c>
      <c r="P727" s="38">
        <f t="shared" si="2"/>
        <v>92.307692307692307</v>
      </c>
      <c r="Q727" s="140" t="s">
        <v>56</v>
      </c>
      <c r="R727" s="140" t="str">
        <f t="shared" si="3"/>
        <v>X</v>
      </c>
      <c r="S727" s="141"/>
      <c r="T727" s="34" t="str">
        <f>IF('PL1(Full)'!$N727&gt;=20,"x",IF(AND('PL1(Full)'!$N727&gt;=15,'PL1(Full)'!$P727&gt;60),"x",""))</f>
        <v/>
      </c>
      <c r="U727" s="34" t="str">
        <f>IF(AND('PL1(Full)'!$H727="Thôn",'PL1(Full)'!$I727&lt;75),"x",IF(AND('PL1(Full)'!$H727="Tổ",'PL1(Full)'!$I727&lt;100),"x","-"))</f>
        <v>-</v>
      </c>
      <c r="V727" s="34" t="str">
        <f>IF(AND('PL1(Full)'!$H727="Thôn",'PL1(Full)'!$I727&lt;140),"x",IF(AND('PL1(Full)'!$H727="Tổ",'PL1(Full)'!$I727&lt;210),"x","-"))</f>
        <v>x</v>
      </c>
      <c r="W727" s="40" t="str">
        <f t="shared" si="148"/>
        <v>Loại 3</v>
      </c>
      <c r="X727" s="32"/>
    </row>
    <row r="728" spans="1:24" ht="15.75" customHeight="1">
      <c r="A728" s="30">
        <f>_xlfn.AGGREGATE(4,7,A$6:A727)+1</f>
        <v>515</v>
      </c>
      <c r="B728" s="66" t="str">
        <f t="shared" si="147"/>
        <v>H. Na Rì</v>
      </c>
      <c r="C728" s="33" t="str">
        <f t="shared" si="149"/>
        <v>X. Côn Minh</v>
      </c>
      <c r="D728" s="32"/>
      <c r="E728" s="32" t="s">
        <v>102</v>
      </c>
      <c r="F728" s="33" t="s">
        <v>812</v>
      </c>
      <c r="G728" s="32"/>
      <c r="H728" s="32" t="str">
        <f>IF(LEFT('PL1(Full)'!$F728,4)="Thôn","Thôn","Tổ")</f>
        <v>Thôn</v>
      </c>
      <c r="I728" s="35">
        <v>59</v>
      </c>
      <c r="J728" s="35">
        <v>231</v>
      </c>
      <c r="K728" s="35">
        <v>56</v>
      </c>
      <c r="L728" s="37">
        <f t="shared" si="0"/>
        <v>94.915254237288138</v>
      </c>
      <c r="M728" s="35">
        <v>6</v>
      </c>
      <c r="N728" s="38">
        <f t="shared" si="1"/>
        <v>10.169491525423728</v>
      </c>
      <c r="O728" s="35">
        <v>6</v>
      </c>
      <c r="P728" s="38">
        <f t="shared" si="2"/>
        <v>100</v>
      </c>
      <c r="Q728" s="140" t="s">
        <v>63</v>
      </c>
      <c r="R728" s="140" t="str">
        <f t="shared" si="3"/>
        <v>X</v>
      </c>
      <c r="S728" s="141"/>
      <c r="T728" s="34" t="str">
        <f>IF('PL1(Full)'!$N728&gt;=20,"x",IF(AND('PL1(Full)'!$N728&gt;=15,'PL1(Full)'!$P728&gt;60),"x",""))</f>
        <v/>
      </c>
      <c r="U728" s="34" t="str">
        <f>IF(AND('PL1(Full)'!$H728="Thôn",'PL1(Full)'!$I728&lt;75),"x",IF(AND('PL1(Full)'!$H728="Tổ",'PL1(Full)'!$I728&lt;100),"x","-"))</f>
        <v>x</v>
      </c>
      <c r="V728" s="34" t="str">
        <f>IF(AND('PL1(Full)'!$H728="Thôn",'PL1(Full)'!$I728&lt;140),"x",IF(AND('PL1(Full)'!$H728="Tổ",'PL1(Full)'!$I728&lt;210),"x","-"))</f>
        <v>x</v>
      </c>
      <c r="W728" s="40" t="str">
        <f t="shared" si="148"/>
        <v>Loại 3</v>
      </c>
      <c r="X728" s="32"/>
    </row>
    <row r="729" spans="1:24" ht="15.75" customHeight="1">
      <c r="A729" s="30">
        <f>_xlfn.AGGREGATE(4,7,A$6:A728)+1</f>
        <v>516</v>
      </c>
      <c r="B729" s="66" t="str">
        <f t="shared" si="147"/>
        <v>H. Na Rì</v>
      </c>
      <c r="C729" s="33" t="str">
        <f t="shared" si="149"/>
        <v>X. Côn Minh</v>
      </c>
      <c r="D729" s="32"/>
      <c r="E729" s="32" t="s">
        <v>102</v>
      </c>
      <c r="F729" s="33" t="s">
        <v>813</v>
      </c>
      <c r="G729" s="32"/>
      <c r="H729" s="32" t="str">
        <f>IF(LEFT('PL1(Full)'!$F729,4)="Thôn","Thôn","Tổ")</f>
        <v>Thôn</v>
      </c>
      <c r="I729" s="35">
        <v>74</v>
      </c>
      <c r="J729" s="35">
        <v>290</v>
      </c>
      <c r="K729" s="35">
        <v>53</v>
      </c>
      <c r="L729" s="37">
        <f t="shared" si="0"/>
        <v>71.621621621621628</v>
      </c>
      <c r="M729" s="35">
        <v>1</v>
      </c>
      <c r="N729" s="38">
        <f t="shared" si="1"/>
        <v>1.3513513513513513</v>
      </c>
      <c r="O729" s="35">
        <v>0</v>
      </c>
      <c r="P729" s="38">
        <f t="shared" si="2"/>
        <v>0</v>
      </c>
      <c r="Q729" s="140" t="s">
        <v>63</v>
      </c>
      <c r="R729" s="140" t="str">
        <f t="shared" si="3"/>
        <v>X</v>
      </c>
      <c r="S729" s="141"/>
      <c r="T729" s="34" t="str">
        <f>IF('PL1(Full)'!$N729&gt;=20,"x",IF(AND('PL1(Full)'!$N729&gt;=15,'PL1(Full)'!$P729&gt;60),"x",""))</f>
        <v/>
      </c>
      <c r="U729" s="34" t="str">
        <f>IF(AND('PL1(Full)'!$H729="Thôn",'PL1(Full)'!$I729&lt;75),"x",IF(AND('PL1(Full)'!$H729="Tổ",'PL1(Full)'!$I729&lt;100),"x","-"))</f>
        <v>x</v>
      </c>
      <c r="V729" s="34" t="str">
        <f>IF(AND('PL1(Full)'!$H729="Thôn",'PL1(Full)'!$I729&lt;140),"x",IF(AND('PL1(Full)'!$H729="Tổ",'PL1(Full)'!$I729&lt;210),"x","-"))</f>
        <v>x</v>
      </c>
      <c r="W729" s="40" t="str">
        <f t="shared" si="148"/>
        <v>Loại 3</v>
      </c>
      <c r="X729" s="32"/>
    </row>
    <row r="730" spans="1:24" ht="15.75" hidden="1" customHeight="1">
      <c r="A730" s="30">
        <f>_xlfn.AGGREGATE(4,7,A$6:A729)+1</f>
        <v>517</v>
      </c>
      <c r="B730" s="66" t="str">
        <f t="shared" si="147"/>
        <v>H. Na Rì</v>
      </c>
      <c r="C730" s="33" t="str">
        <f t="shared" si="149"/>
        <v>X. Côn Minh</v>
      </c>
      <c r="D730" s="32"/>
      <c r="E730" s="32" t="s">
        <v>102</v>
      </c>
      <c r="F730" s="33" t="s">
        <v>814</v>
      </c>
      <c r="G730" s="32"/>
      <c r="H730" s="32" t="str">
        <f>IF(LEFT('PL1(Full)'!$F730,4)="Thôn","Thôn","Tổ")</f>
        <v>Thôn</v>
      </c>
      <c r="I730" s="35">
        <v>83</v>
      </c>
      <c r="J730" s="35">
        <v>319</v>
      </c>
      <c r="K730" s="35">
        <v>61</v>
      </c>
      <c r="L730" s="37">
        <f t="shared" si="0"/>
        <v>73.493975903614455</v>
      </c>
      <c r="M730" s="35">
        <v>7</v>
      </c>
      <c r="N730" s="38">
        <f t="shared" si="1"/>
        <v>8.4337349397590362</v>
      </c>
      <c r="O730" s="35">
        <v>6</v>
      </c>
      <c r="P730" s="38">
        <f t="shared" si="2"/>
        <v>85.714285714285708</v>
      </c>
      <c r="Q730" s="140" t="s">
        <v>63</v>
      </c>
      <c r="R730" s="140" t="str">
        <f t="shared" si="3"/>
        <v>X</v>
      </c>
      <c r="S730" s="141"/>
      <c r="T730" s="34" t="str">
        <f>IF('PL1(Full)'!$N730&gt;=20,"x",IF(AND('PL1(Full)'!$N730&gt;=15,'PL1(Full)'!$P730&gt;60),"x",""))</f>
        <v/>
      </c>
      <c r="U730" s="34" t="str">
        <f>IF(AND('PL1(Full)'!$H730="Thôn",'PL1(Full)'!$I730&lt;75),"x",IF(AND('PL1(Full)'!$H730="Tổ",'PL1(Full)'!$I730&lt;100),"x","-"))</f>
        <v>-</v>
      </c>
      <c r="V730" s="34" t="str">
        <f>IF(AND('PL1(Full)'!$H730="Thôn",'PL1(Full)'!$I730&lt;140),"x",IF(AND('PL1(Full)'!$H730="Tổ",'PL1(Full)'!$I730&lt;210),"x","-"))</f>
        <v>x</v>
      </c>
      <c r="W730" s="40" t="str">
        <f t="shared" si="148"/>
        <v>Loại 3</v>
      </c>
      <c r="X730" s="32"/>
    </row>
    <row r="731" spans="1:24" ht="15.75" customHeight="1">
      <c r="A731" s="30">
        <f>_xlfn.AGGREGATE(4,7,A$6:A730)+1</f>
        <v>517</v>
      </c>
      <c r="B731" s="66" t="str">
        <f t="shared" si="147"/>
        <v>H. Na Rì</v>
      </c>
      <c r="C731" s="33" t="str">
        <f t="shared" si="149"/>
        <v>X. Côn Minh</v>
      </c>
      <c r="D731" s="32"/>
      <c r="E731" s="32" t="s">
        <v>102</v>
      </c>
      <c r="F731" s="33" t="s">
        <v>815</v>
      </c>
      <c r="G731" s="32"/>
      <c r="H731" s="32" t="str">
        <f>IF(LEFT('PL1(Full)'!$F731,4)="Thôn","Thôn","Tổ")</f>
        <v>Thôn</v>
      </c>
      <c r="I731" s="35">
        <v>38</v>
      </c>
      <c r="J731" s="35">
        <v>158</v>
      </c>
      <c r="K731" s="35">
        <v>38</v>
      </c>
      <c r="L731" s="37">
        <f t="shared" si="0"/>
        <v>100</v>
      </c>
      <c r="M731" s="35">
        <v>8</v>
      </c>
      <c r="N731" s="38">
        <f t="shared" si="1"/>
        <v>21.05263157894737</v>
      </c>
      <c r="O731" s="35">
        <v>8</v>
      </c>
      <c r="P731" s="38">
        <f t="shared" si="2"/>
        <v>100</v>
      </c>
      <c r="Q731" s="140" t="s">
        <v>63</v>
      </c>
      <c r="R731" s="140" t="str">
        <f t="shared" si="3"/>
        <v>X</v>
      </c>
      <c r="S731" s="141" t="s">
        <v>60</v>
      </c>
      <c r="T731" s="34" t="str">
        <f>IF('PL1(Full)'!$N731&gt;=20,"x",IF(AND('PL1(Full)'!$N731&gt;=15,'PL1(Full)'!$P731&gt;60),"x",""))</f>
        <v>x</v>
      </c>
      <c r="U731" s="34" t="str">
        <f>IF(AND('PL1(Full)'!$H731="Thôn",'PL1(Full)'!$I731&lt;75),"x",IF(AND('PL1(Full)'!$H731="Tổ",'PL1(Full)'!$I731&lt;100),"x","-"))</f>
        <v>x</v>
      </c>
      <c r="V731" s="34" t="str">
        <f>IF(AND('PL1(Full)'!$H731="Thôn",'PL1(Full)'!$I731&lt;140),"x",IF(AND('PL1(Full)'!$H731="Tổ",'PL1(Full)'!$I731&lt;210),"x","-"))</f>
        <v>x</v>
      </c>
      <c r="W731" s="40" t="str">
        <f t="shared" si="148"/>
        <v>Loại 3</v>
      </c>
      <c r="X731" s="32"/>
    </row>
    <row r="732" spans="1:24" ht="15.75" customHeight="1">
      <c r="A732" s="30">
        <f>_xlfn.AGGREGATE(4,7,A$6:A731)+1</f>
        <v>518</v>
      </c>
      <c r="B732" s="66" t="str">
        <f t="shared" si="147"/>
        <v>H. Na Rì</v>
      </c>
      <c r="C732" s="33" t="str">
        <f t="shared" si="149"/>
        <v>X. Côn Minh</v>
      </c>
      <c r="D732" s="32"/>
      <c r="E732" s="32" t="s">
        <v>102</v>
      </c>
      <c r="F732" s="33" t="s">
        <v>816</v>
      </c>
      <c r="G732" s="32"/>
      <c r="H732" s="32" t="str">
        <f>IF(LEFT('PL1(Full)'!$F732,4)="Thôn","Thôn","Tổ")</f>
        <v>Thôn</v>
      </c>
      <c r="I732" s="35">
        <v>14</v>
      </c>
      <c r="J732" s="35">
        <v>62</v>
      </c>
      <c r="K732" s="35">
        <v>14</v>
      </c>
      <c r="L732" s="37">
        <f t="shared" si="0"/>
        <v>100</v>
      </c>
      <c r="M732" s="35">
        <v>8</v>
      </c>
      <c r="N732" s="38">
        <f t="shared" si="1"/>
        <v>57.142857142857146</v>
      </c>
      <c r="O732" s="35">
        <v>8</v>
      </c>
      <c r="P732" s="38">
        <f t="shared" si="2"/>
        <v>100</v>
      </c>
      <c r="Q732" s="140" t="s">
        <v>63</v>
      </c>
      <c r="R732" s="140" t="str">
        <f t="shared" si="3"/>
        <v>X</v>
      </c>
      <c r="S732" s="141" t="s">
        <v>60</v>
      </c>
      <c r="T732" s="34" t="str">
        <f>IF('PL1(Full)'!$N732&gt;=20,"x",IF(AND('PL1(Full)'!$N732&gt;=15,'PL1(Full)'!$P732&gt;60),"x",""))</f>
        <v>x</v>
      </c>
      <c r="U732" s="34" t="str">
        <f>IF(AND('PL1(Full)'!$H732="Thôn",'PL1(Full)'!$I732&lt;75),"x",IF(AND('PL1(Full)'!$H732="Tổ",'PL1(Full)'!$I732&lt;100),"x","-"))</f>
        <v>x</v>
      </c>
      <c r="V732" s="34" t="str">
        <f>IF(AND('PL1(Full)'!$H732="Thôn",'PL1(Full)'!$I732&lt;140),"x",IF(AND('PL1(Full)'!$H732="Tổ",'PL1(Full)'!$I732&lt;210),"x","-"))</f>
        <v>x</v>
      </c>
      <c r="W732" s="40" t="str">
        <f t="shared" si="148"/>
        <v>Loại 3</v>
      </c>
      <c r="X732" s="32"/>
    </row>
    <row r="733" spans="1:24" ht="15.75" customHeight="1">
      <c r="A733" s="30">
        <f>_xlfn.AGGREGATE(4,7,A$6:A732)+1</f>
        <v>519</v>
      </c>
      <c r="B733" s="66" t="str">
        <f t="shared" si="147"/>
        <v>H. Na Rì</v>
      </c>
      <c r="C733" s="33" t="str">
        <f t="shared" si="149"/>
        <v>X. Côn Minh</v>
      </c>
      <c r="D733" s="32"/>
      <c r="E733" s="32" t="s">
        <v>102</v>
      </c>
      <c r="F733" s="33" t="s">
        <v>817</v>
      </c>
      <c r="G733" s="32"/>
      <c r="H733" s="32" t="str">
        <f>IF(LEFT('PL1(Full)'!$F733,4)="Thôn","Thôn","Tổ")</f>
        <v>Thôn</v>
      </c>
      <c r="I733" s="35">
        <v>27</v>
      </c>
      <c r="J733" s="35">
        <v>103</v>
      </c>
      <c r="K733" s="35">
        <v>23</v>
      </c>
      <c r="L733" s="37">
        <f t="shared" si="0"/>
        <v>85.18518518518519</v>
      </c>
      <c r="M733" s="35">
        <v>4</v>
      </c>
      <c r="N733" s="38">
        <f t="shared" si="1"/>
        <v>14.814814814814815</v>
      </c>
      <c r="O733" s="35">
        <v>4</v>
      </c>
      <c r="P733" s="38">
        <f t="shared" si="2"/>
        <v>100</v>
      </c>
      <c r="Q733" s="140" t="s">
        <v>63</v>
      </c>
      <c r="R733" s="140" t="str">
        <f t="shared" si="3"/>
        <v>X</v>
      </c>
      <c r="S733" s="141" t="s">
        <v>60</v>
      </c>
      <c r="T733" s="34" t="str">
        <f>IF('PL1(Full)'!$N733&gt;=20,"x",IF(AND('PL1(Full)'!$N733&gt;=15,'PL1(Full)'!$P733&gt;60),"x",""))</f>
        <v/>
      </c>
      <c r="U733" s="34" t="str">
        <f>IF(AND('PL1(Full)'!$H733="Thôn",'PL1(Full)'!$I733&lt;75),"x",IF(AND('PL1(Full)'!$H733="Tổ",'PL1(Full)'!$I733&lt;100),"x","-"))</f>
        <v>x</v>
      </c>
      <c r="V733" s="34" t="str">
        <f>IF(AND('PL1(Full)'!$H733="Thôn",'PL1(Full)'!$I733&lt;140),"x",IF(AND('PL1(Full)'!$H733="Tổ",'PL1(Full)'!$I733&lt;210),"x","-"))</f>
        <v>x</v>
      </c>
      <c r="W733" s="40" t="str">
        <f t="shared" si="148"/>
        <v>Loại 3</v>
      </c>
      <c r="X733" s="32"/>
    </row>
    <row r="734" spans="1:24" ht="15.75" customHeight="1">
      <c r="A734" s="30">
        <f>_xlfn.AGGREGATE(4,7,A$6:A733)+1</f>
        <v>520</v>
      </c>
      <c r="B734" s="66" t="str">
        <f t="shared" si="147"/>
        <v>H. Na Rì</v>
      </c>
      <c r="C734" s="33" t="str">
        <f t="shared" si="149"/>
        <v>X. Côn Minh</v>
      </c>
      <c r="D734" s="32"/>
      <c r="E734" s="32" t="s">
        <v>102</v>
      </c>
      <c r="F734" s="33" t="s">
        <v>818</v>
      </c>
      <c r="G734" s="32"/>
      <c r="H734" s="32" t="str">
        <f>IF(LEFT('PL1(Full)'!$F734,4)="Thôn","Thôn","Tổ")</f>
        <v>Thôn</v>
      </c>
      <c r="I734" s="35">
        <v>53</v>
      </c>
      <c r="J734" s="35">
        <v>216</v>
      </c>
      <c r="K734" s="35">
        <v>51</v>
      </c>
      <c r="L734" s="37">
        <f t="shared" si="0"/>
        <v>96.226415094339629</v>
      </c>
      <c r="M734" s="35">
        <v>7</v>
      </c>
      <c r="N734" s="38">
        <f t="shared" si="1"/>
        <v>13.20754716981132</v>
      </c>
      <c r="O734" s="35">
        <v>7</v>
      </c>
      <c r="P734" s="38">
        <f t="shared" si="2"/>
        <v>100</v>
      </c>
      <c r="Q734" s="140" t="s">
        <v>63</v>
      </c>
      <c r="R734" s="140" t="str">
        <f t="shared" si="3"/>
        <v>X</v>
      </c>
      <c r="S734" s="141"/>
      <c r="T734" s="34" t="str">
        <f>IF('PL1(Full)'!$N734&gt;=20,"x",IF(AND('PL1(Full)'!$N734&gt;=15,'PL1(Full)'!$P734&gt;60),"x",""))</f>
        <v/>
      </c>
      <c r="U734" s="34" t="str">
        <f>IF(AND('PL1(Full)'!$H734="Thôn",'PL1(Full)'!$I734&lt;75),"x",IF(AND('PL1(Full)'!$H734="Tổ",'PL1(Full)'!$I734&lt;100),"x","-"))</f>
        <v>x</v>
      </c>
      <c r="V734" s="34" t="str">
        <f>IF(AND('PL1(Full)'!$H734="Thôn",'PL1(Full)'!$I734&lt;140),"x",IF(AND('PL1(Full)'!$H734="Tổ",'PL1(Full)'!$I734&lt;210),"x","-"))</f>
        <v>x</v>
      </c>
      <c r="W734" s="40" t="str">
        <f t="shared" si="148"/>
        <v>Loại 3</v>
      </c>
      <c r="X734" s="32"/>
    </row>
    <row r="735" spans="1:24" ht="15.75" customHeight="1">
      <c r="A735" s="30">
        <f>_xlfn.AGGREGATE(4,7,A$6:A734)+1</f>
        <v>521</v>
      </c>
      <c r="B735" s="66" t="str">
        <f t="shared" si="147"/>
        <v>H. Na Rì</v>
      </c>
      <c r="C735" s="33" t="str">
        <f t="shared" si="149"/>
        <v>X. Côn Minh</v>
      </c>
      <c r="D735" s="32"/>
      <c r="E735" s="32" t="s">
        <v>102</v>
      </c>
      <c r="F735" s="33" t="s">
        <v>159</v>
      </c>
      <c r="G735" s="32"/>
      <c r="H735" s="32" t="str">
        <f>IF(LEFT('PL1(Full)'!$F735,4)="Thôn","Thôn","Tổ")</f>
        <v>Thôn</v>
      </c>
      <c r="I735" s="35">
        <v>35</v>
      </c>
      <c r="J735" s="35">
        <v>148</v>
      </c>
      <c r="K735" s="35">
        <v>7</v>
      </c>
      <c r="L735" s="37">
        <f t="shared" si="0"/>
        <v>20</v>
      </c>
      <c r="M735" s="35">
        <v>1</v>
      </c>
      <c r="N735" s="38">
        <f t="shared" si="1"/>
        <v>2.8571428571428572</v>
      </c>
      <c r="O735" s="35">
        <v>0</v>
      </c>
      <c r="P735" s="38">
        <f t="shared" si="2"/>
        <v>0</v>
      </c>
      <c r="Q735" s="140" t="s">
        <v>63</v>
      </c>
      <c r="R735" s="140" t="str">
        <f t="shared" si="3"/>
        <v>X</v>
      </c>
      <c r="S735" s="141"/>
      <c r="T735" s="34" t="str">
        <f>IF('PL1(Full)'!$N735&gt;=20,"x",IF(AND('PL1(Full)'!$N735&gt;=15,'PL1(Full)'!$P735&gt;60),"x",""))</f>
        <v/>
      </c>
      <c r="U735" s="34" t="str">
        <f>IF(AND('PL1(Full)'!$H735="Thôn",'PL1(Full)'!$I735&lt;75),"x",IF(AND('PL1(Full)'!$H735="Tổ",'PL1(Full)'!$I735&lt;100),"x","-"))</f>
        <v>x</v>
      </c>
      <c r="V735" s="34" t="str">
        <f>IF(AND('PL1(Full)'!$H735="Thôn",'PL1(Full)'!$I735&lt;140),"x",IF(AND('PL1(Full)'!$H735="Tổ",'PL1(Full)'!$I735&lt;210),"x","-"))</f>
        <v>x</v>
      </c>
      <c r="W735" s="40" t="str">
        <f t="shared" si="148"/>
        <v>Loại 3</v>
      </c>
      <c r="X735" s="32"/>
    </row>
    <row r="736" spans="1:24" ht="15.75" customHeight="1">
      <c r="A736" s="30">
        <f>_xlfn.AGGREGATE(4,7,A$6:A735)+1</f>
        <v>522</v>
      </c>
      <c r="B736" s="66" t="str">
        <f t="shared" si="147"/>
        <v>H. Na Rì</v>
      </c>
      <c r="C736" s="33" t="str">
        <f t="shared" si="149"/>
        <v>X. Côn Minh</v>
      </c>
      <c r="D736" s="32"/>
      <c r="E736" s="32" t="s">
        <v>102</v>
      </c>
      <c r="F736" s="33" t="s">
        <v>819</v>
      </c>
      <c r="G736" s="32"/>
      <c r="H736" s="32" t="str">
        <f>IF(LEFT('PL1(Full)'!$F736,4)="Thôn","Thôn","Tổ")</f>
        <v>Thôn</v>
      </c>
      <c r="I736" s="35">
        <v>29</v>
      </c>
      <c r="J736" s="35">
        <v>103</v>
      </c>
      <c r="K736" s="35">
        <v>29</v>
      </c>
      <c r="L736" s="37">
        <f t="shared" si="0"/>
        <v>100</v>
      </c>
      <c r="M736" s="35">
        <v>5</v>
      </c>
      <c r="N736" s="38">
        <f t="shared" si="1"/>
        <v>17.241379310344829</v>
      </c>
      <c r="O736" s="35">
        <v>5</v>
      </c>
      <c r="P736" s="38">
        <f t="shared" si="2"/>
        <v>100</v>
      </c>
      <c r="Q736" s="140" t="s">
        <v>63</v>
      </c>
      <c r="R736" s="140" t="str">
        <f t="shared" si="3"/>
        <v>X</v>
      </c>
      <c r="S736" s="141" t="s">
        <v>60</v>
      </c>
      <c r="T736" s="34" t="str">
        <f>IF('PL1(Full)'!$N736&gt;=20,"x",IF(AND('PL1(Full)'!$N736&gt;=15,'PL1(Full)'!$P736&gt;60),"x",""))</f>
        <v>x</v>
      </c>
      <c r="U736" s="34" t="str">
        <f>IF(AND('PL1(Full)'!$H736="Thôn",'PL1(Full)'!$I736&lt;75),"x",IF(AND('PL1(Full)'!$H736="Tổ",'PL1(Full)'!$I736&lt;100),"x","-"))</f>
        <v>x</v>
      </c>
      <c r="V736" s="34" t="str">
        <f>IF(AND('PL1(Full)'!$H736="Thôn",'PL1(Full)'!$I736&lt;140),"x",IF(AND('PL1(Full)'!$H736="Tổ",'PL1(Full)'!$I736&lt;210),"x","-"))</f>
        <v>x</v>
      </c>
      <c r="W736" s="40" t="str">
        <f t="shared" si="148"/>
        <v>Loại 3</v>
      </c>
      <c r="X736" s="32"/>
    </row>
    <row r="737" spans="1:24" ht="15.75" customHeight="1">
      <c r="A737" s="41">
        <f>_xlfn.AGGREGATE(4,7,A$6:A736)+1</f>
        <v>523</v>
      </c>
      <c r="B737" s="67" t="str">
        <f t="shared" si="147"/>
        <v>H. Na Rì</v>
      </c>
      <c r="C737" s="44" t="str">
        <f t="shared" si="149"/>
        <v>X. Côn Minh</v>
      </c>
      <c r="D737" s="43"/>
      <c r="E737" s="43" t="s">
        <v>102</v>
      </c>
      <c r="F737" s="44" t="s">
        <v>820</v>
      </c>
      <c r="G737" s="43"/>
      <c r="H737" s="43" t="str">
        <f>IF(LEFT('PL1(Full)'!$F737,4)="Thôn","Thôn","Tổ")</f>
        <v>Thôn</v>
      </c>
      <c r="I737" s="45">
        <v>52</v>
      </c>
      <c r="J737" s="45">
        <v>52</v>
      </c>
      <c r="K737" s="45">
        <v>52</v>
      </c>
      <c r="L737" s="47">
        <f t="shared" si="0"/>
        <v>100</v>
      </c>
      <c r="M737" s="45">
        <v>7</v>
      </c>
      <c r="N737" s="48">
        <f t="shared" si="1"/>
        <v>13.461538461538462</v>
      </c>
      <c r="O737" s="45">
        <v>7</v>
      </c>
      <c r="P737" s="48">
        <f t="shared" si="2"/>
        <v>100</v>
      </c>
      <c r="Q737" s="142" t="s">
        <v>63</v>
      </c>
      <c r="R737" s="142" t="str">
        <f t="shared" si="3"/>
        <v>X</v>
      </c>
      <c r="S737" s="143" t="s">
        <v>60</v>
      </c>
      <c r="T737" s="50" t="str">
        <f>IF('PL1(Full)'!$N737&gt;=20,"x",IF(AND('PL1(Full)'!$N737&gt;=15,'PL1(Full)'!$P737&gt;60),"x",""))</f>
        <v/>
      </c>
      <c r="U737" s="50" t="str">
        <f>IF(AND('PL1(Full)'!$H737="Thôn",'PL1(Full)'!$I737&lt;75),"x",IF(AND('PL1(Full)'!$H737="Tổ",'PL1(Full)'!$I737&lt;100),"x","-"))</f>
        <v>x</v>
      </c>
      <c r="V737" s="34" t="str">
        <f>IF(AND('PL1(Full)'!$H737="Thôn",'PL1(Full)'!$I737&lt;140),"x",IF(AND('PL1(Full)'!$H737="Tổ",'PL1(Full)'!$I737&lt;210),"x","-"))</f>
        <v>x</v>
      </c>
      <c r="W737" s="51" t="str">
        <f t="shared" si="148"/>
        <v>Loại 3</v>
      </c>
      <c r="X737" s="43"/>
    </row>
    <row r="738" spans="1:24" ht="15.75" customHeight="1">
      <c r="A738" s="52">
        <f>_xlfn.AGGREGATE(4,7,A$6:A737)+1</f>
        <v>524</v>
      </c>
      <c r="B738" s="65" t="str">
        <f t="shared" si="147"/>
        <v>H. Na Rì</v>
      </c>
      <c r="C738" s="14" t="s">
        <v>821</v>
      </c>
      <c r="D738" s="15" t="s">
        <v>58</v>
      </c>
      <c r="E738" s="16" t="s">
        <v>58</v>
      </c>
      <c r="F738" s="17" t="s">
        <v>822</v>
      </c>
      <c r="G738" s="18"/>
      <c r="H738" s="18" t="str">
        <f>IF(LEFT('PL1(Full)'!$F738,4)="Thôn","Thôn","Tổ")</f>
        <v>Thôn</v>
      </c>
      <c r="I738" s="19">
        <v>43</v>
      </c>
      <c r="J738" s="19">
        <v>188</v>
      </c>
      <c r="K738" s="19">
        <v>42</v>
      </c>
      <c r="L738" s="21">
        <f t="shared" si="0"/>
        <v>97.674418604651166</v>
      </c>
      <c r="M738" s="19">
        <v>28</v>
      </c>
      <c r="N738" s="22">
        <f t="shared" si="1"/>
        <v>65.116279069767444</v>
      </c>
      <c r="O738" s="19">
        <v>28</v>
      </c>
      <c r="P738" s="22">
        <f t="shared" si="2"/>
        <v>100</v>
      </c>
      <c r="Q738" s="138" t="s">
        <v>82</v>
      </c>
      <c r="R738" s="132" t="str">
        <f t="shared" si="3"/>
        <v>X</v>
      </c>
      <c r="S738" s="133" t="s">
        <v>60</v>
      </c>
      <c r="T738" s="26" t="str">
        <f>IF('PL1(Full)'!$N738&gt;=20,"x",IF(AND('PL1(Full)'!$N738&gt;=15,'PL1(Full)'!$P738&gt;60),"x",""))</f>
        <v>x</v>
      </c>
      <c r="U738" s="27" t="str">
        <f>IF(AND('PL1(Full)'!$H738="Thôn",'PL1(Full)'!$I738&lt;75),"x",IF(AND('PL1(Full)'!$H738="Tổ",'PL1(Full)'!$I738&lt;100),"x","-"))</f>
        <v>x</v>
      </c>
      <c r="V738" s="28" t="str">
        <f>IF(AND('PL1(Full)'!$H738="Thôn",'PL1(Full)'!$I738&lt;140),"x",IF(AND('PL1(Full)'!$H738="Tổ",'PL1(Full)'!$I738&lt;210),"x","-"))</f>
        <v>x</v>
      </c>
      <c r="W738" s="29" t="str">
        <f t="shared" si="148"/>
        <v>Loại 3</v>
      </c>
      <c r="X738" s="18"/>
    </row>
    <row r="739" spans="1:24" ht="15.75" customHeight="1">
      <c r="A739" s="30">
        <f>_xlfn.AGGREGATE(4,7,A$6:A738)+1</f>
        <v>525</v>
      </c>
      <c r="B739" s="66" t="str">
        <f t="shared" si="147"/>
        <v>H. Na Rì</v>
      </c>
      <c r="C739" s="33" t="str">
        <f t="shared" ref="C739:C751" si="150">C738</f>
        <v>X. Cư Lễ</v>
      </c>
      <c r="D739" s="32"/>
      <c r="E739" s="32" t="s">
        <v>58</v>
      </c>
      <c r="F739" s="33" t="s">
        <v>823</v>
      </c>
      <c r="G739" s="32"/>
      <c r="H739" s="32" t="str">
        <f>IF(LEFT('PL1(Full)'!$F739,4)="Thôn","Thôn","Tổ")</f>
        <v>Thôn</v>
      </c>
      <c r="I739" s="35">
        <v>30</v>
      </c>
      <c r="J739" s="35">
        <v>123</v>
      </c>
      <c r="K739" s="35">
        <v>29</v>
      </c>
      <c r="L739" s="37">
        <f t="shared" si="0"/>
        <v>96.666666666666671</v>
      </c>
      <c r="M739" s="35">
        <v>9</v>
      </c>
      <c r="N739" s="38">
        <f t="shared" si="1"/>
        <v>30</v>
      </c>
      <c r="O739" s="35">
        <v>9</v>
      </c>
      <c r="P739" s="38">
        <f t="shared" si="2"/>
        <v>100</v>
      </c>
      <c r="Q739" s="134" t="s">
        <v>824</v>
      </c>
      <c r="R739" s="134" t="str">
        <f t="shared" si="3"/>
        <v>X</v>
      </c>
      <c r="S739" s="135"/>
      <c r="T739" s="34" t="str">
        <f>IF('PL1(Full)'!$N739&gt;=20,"x",IF(AND('PL1(Full)'!$N739&gt;=15,'PL1(Full)'!$P739&gt;60),"x",""))</f>
        <v>x</v>
      </c>
      <c r="U739" s="34" t="str">
        <f>IF(AND('PL1(Full)'!$H739="Thôn",'PL1(Full)'!$I739&lt;75),"x",IF(AND('PL1(Full)'!$H739="Tổ",'PL1(Full)'!$I739&lt;100),"x","-"))</f>
        <v>x</v>
      </c>
      <c r="V739" s="34" t="str">
        <f>IF(AND('PL1(Full)'!$H739="Thôn",'PL1(Full)'!$I739&lt;140),"x",IF(AND('PL1(Full)'!$H739="Tổ",'PL1(Full)'!$I739&lt;210),"x","-"))</f>
        <v>x</v>
      </c>
      <c r="W739" s="40" t="str">
        <f t="shared" si="148"/>
        <v>Loại 3</v>
      </c>
      <c r="X739" s="32"/>
    </row>
    <row r="740" spans="1:24" ht="15.75" customHeight="1">
      <c r="A740" s="30">
        <f>_xlfn.AGGREGATE(4,7,A$6:A739)+1</f>
        <v>526</v>
      </c>
      <c r="B740" s="66" t="str">
        <f t="shared" si="147"/>
        <v>H. Na Rì</v>
      </c>
      <c r="C740" s="33" t="str">
        <f t="shared" si="150"/>
        <v>X. Cư Lễ</v>
      </c>
      <c r="D740" s="32"/>
      <c r="E740" s="32" t="s">
        <v>58</v>
      </c>
      <c r="F740" s="33" t="s">
        <v>825</v>
      </c>
      <c r="G740" s="32"/>
      <c r="H740" s="32" t="str">
        <f>IF(LEFT('PL1(Full)'!$F740,4)="Thôn","Thôn","Tổ")</f>
        <v>Thôn</v>
      </c>
      <c r="I740" s="35">
        <v>15</v>
      </c>
      <c r="J740" s="35">
        <v>67</v>
      </c>
      <c r="K740" s="35">
        <v>12</v>
      </c>
      <c r="L740" s="37">
        <f t="shared" si="0"/>
        <v>80</v>
      </c>
      <c r="M740" s="35">
        <v>8</v>
      </c>
      <c r="N740" s="38">
        <f t="shared" si="1"/>
        <v>53.333333333333336</v>
      </c>
      <c r="O740" s="35">
        <v>8</v>
      </c>
      <c r="P740" s="38">
        <f t="shared" si="2"/>
        <v>100</v>
      </c>
      <c r="Q740" s="134" t="s">
        <v>63</v>
      </c>
      <c r="R740" s="134" t="str">
        <f t="shared" si="3"/>
        <v>X</v>
      </c>
      <c r="S740" s="135"/>
      <c r="T740" s="34" t="str">
        <f>IF('PL1(Full)'!$N740&gt;=20,"x",IF(AND('PL1(Full)'!$N740&gt;=15,'PL1(Full)'!$P740&gt;60),"x",""))</f>
        <v>x</v>
      </c>
      <c r="U740" s="34" t="str">
        <f>IF(AND('PL1(Full)'!$H740="Thôn",'PL1(Full)'!$I740&lt;75),"x",IF(AND('PL1(Full)'!$H740="Tổ",'PL1(Full)'!$I740&lt;100),"x","-"))</f>
        <v>x</v>
      </c>
      <c r="V740" s="34" t="str">
        <f>IF(AND('PL1(Full)'!$H740="Thôn",'PL1(Full)'!$I740&lt;140),"x",IF(AND('PL1(Full)'!$H740="Tổ",'PL1(Full)'!$I740&lt;210),"x","-"))</f>
        <v>x</v>
      </c>
      <c r="W740" s="40" t="str">
        <f t="shared" si="148"/>
        <v>Loại 3</v>
      </c>
      <c r="X740" s="32"/>
    </row>
    <row r="741" spans="1:24" ht="15.75" customHeight="1">
      <c r="A741" s="30">
        <f>_xlfn.AGGREGATE(4,7,A$6:A740)+1</f>
        <v>527</v>
      </c>
      <c r="B741" s="66" t="str">
        <f t="shared" si="147"/>
        <v>H. Na Rì</v>
      </c>
      <c r="C741" s="33" t="str">
        <f t="shared" si="150"/>
        <v>X. Cư Lễ</v>
      </c>
      <c r="D741" s="32"/>
      <c r="E741" s="32" t="s">
        <v>58</v>
      </c>
      <c r="F741" s="33" t="s">
        <v>826</v>
      </c>
      <c r="G741" s="32"/>
      <c r="H741" s="32" t="str">
        <f>IF(LEFT('PL1(Full)'!$F741,4)="Thôn","Thôn","Tổ")</f>
        <v>Thôn</v>
      </c>
      <c r="I741" s="35">
        <v>55</v>
      </c>
      <c r="J741" s="35">
        <v>197</v>
      </c>
      <c r="K741" s="35">
        <v>53</v>
      </c>
      <c r="L741" s="37">
        <f t="shared" si="0"/>
        <v>96.36363636363636</v>
      </c>
      <c r="M741" s="35">
        <v>11</v>
      </c>
      <c r="N741" s="38">
        <f t="shared" si="1"/>
        <v>20</v>
      </c>
      <c r="O741" s="35">
        <v>11</v>
      </c>
      <c r="P741" s="38">
        <f t="shared" si="2"/>
        <v>100</v>
      </c>
      <c r="Q741" s="140" t="s">
        <v>63</v>
      </c>
      <c r="R741" s="140" t="str">
        <f t="shared" si="3"/>
        <v>X</v>
      </c>
      <c r="S741" s="141" t="s">
        <v>60</v>
      </c>
      <c r="T741" s="34" t="str">
        <f>IF('PL1(Full)'!$N741&gt;=20,"x",IF(AND('PL1(Full)'!$N741&gt;=15,'PL1(Full)'!$P741&gt;60),"x",""))</f>
        <v>x</v>
      </c>
      <c r="U741" s="34" t="str">
        <f>IF(AND('PL1(Full)'!$H741="Thôn",'PL1(Full)'!$I741&lt;75),"x",IF(AND('PL1(Full)'!$H741="Tổ",'PL1(Full)'!$I741&lt;100),"x","-"))</f>
        <v>x</v>
      </c>
      <c r="V741" s="34" t="str">
        <f>IF(AND('PL1(Full)'!$H741="Thôn",'PL1(Full)'!$I741&lt;140),"x",IF(AND('PL1(Full)'!$H741="Tổ",'PL1(Full)'!$I741&lt;210),"x","-"))</f>
        <v>x</v>
      </c>
      <c r="W741" s="40" t="str">
        <f t="shared" si="148"/>
        <v>Loại 3</v>
      </c>
      <c r="X741" s="32"/>
    </row>
    <row r="742" spans="1:24" ht="15.75" customHeight="1">
      <c r="A742" s="30">
        <f>_xlfn.AGGREGATE(4,7,A$6:A741)+1</f>
        <v>528</v>
      </c>
      <c r="B742" s="66" t="str">
        <f t="shared" si="147"/>
        <v>H. Na Rì</v>
      </c>
      <c r="C742" s="33" t="str">
        <f t="shared" si="150"/>
        <v>X. Cư Lễ</v>
      </c>
      <c r="D742" s="32"/>
      <c r="E742" s="32" t="s">
        <v>58</v>
      </c>
      <c r="F742" s="33" t="s">
        <v>827</v>
      </c>
      <c r="G742" s="32"/>
      <c r="H742" s="32" t="str">
        <f>IF(LEFT('PL1(Full)'!$F742,4)="Thôn","Thôn","Tổ")</f>
        <v>Thôn</v>
      </c>
      <c r="I742" s="35">
        <v>44</v>
      </c>
      <c r="J742" s="35">
        <v>170</v>
      </c>
      <c r="K742" s="35">
        <v>44</v>
      </c>
      <c r="L742" s="37">
        <f t="shared" si="0"/>
        <v>100</v>
      </c>
      <c r="M742" s="35">
        <v>13</v>
      </c>
      <c r="N742" s="38">
        <f t="shared" si="1"/>
        <v>29.545454545454547</v>
      </c>
      <c r="O742" s="35">
        <v>13</v>
      </c>
      <c r="P742" s="38">
        <f t="shared" si="2"/>
        <v>100</v>
      </c>
      <c r="Q742" s="134" t="s">
        <v>63</v>
      </c>
      <c r="R742" s="134" t="str">
        <f t="shared" si="3"/>
        <v>X</v>
      </c>
      <c r="S742" s="135"/>
      <c r="T742" s="34" t="str">
        <f>IF('PL1(Full)'!$N742&gt;=20,"x",IF(AND('PL1(Full)'!$N742&gt;=15,'PL1(Full)'!$P742&gt;60),"x",""))</f>
        <v>x</v>
      </c>
      <c r="U742" s="34" t="str">
        <f>IF(AND('PL1(Full)'!$H742="Thôn",'PL1(Full)'!$I742&lt;75),"x",IF(AND('PL1(Full)'!$H742="Tổ",'PL1(Full)'!$I742&lt;100),"x","-"))</f>
        <v>x</v>
      </c>
      <c r="V742" s="34" t="str">
        <f>IF(AND('PL1(Full)'!$H742="Thôn",'PL1(Full)'!$I742&lt;140),"x",IF(AND('PL1(Full)'!$H742="Tổ",'PL1(Full)'!$I742&lt;210),"x","-"))</f>
        <v>x</v>
      </c>
      <c r="W742" s="40" t="str">
        <f t="shared" si="148"/>
        <v>Loại 3</v>
      </c>
      <c r="X742" s="32"/>
    </row>
    <row r="743" spans="1:24" ht="15.75" customHeight="1">
      <c r="A743" s="30">
        <f>_xlfn.AGGREGATE(4,7,A$6:A742)+1</f>
        <v>529</v>
      </c>
      <c r="B743" s="66" t="str">
        <f t="shared" si="147"/>
        <v>H. Na Rì</v>
      </c>
      <c r="C743" s="33" t="str">
        <f t="shared" si="150"/>
        <v>X. Cư Lễ</v>
      </c>
      <c r="D743" s="32"/>
      <c r="E743" s="32" t="s">
        <v>58</v>
      </c>
      <c r="F743" s="33" t="s">
        <v>828</v>
      </c>
      <c r="G743" s="32"/>
      <c r="H743" s="32" t="str">
        <f>IF(LEFT('PL1(Full)'!$F743,4)="Thôn","Thôn","Tổ")</f>
        <v>Thôn</v>
      </c>
      <c r="I743" s="35">
        <v>42</v>
      </c>
      <c r="J743" s="35">
        <v>181</v>
      </c>
      <c r="K743" s="35">
        <v>42</v>
      </c>
      <c r="L743" s="37">
        <f t="shared" si="0"/>
        <v>100</v>
      </c>
      <c r="M743" s="35">
        <v>10</v>
      </c>
      <c r="N743" s="38">
        <f t="shared" si="1"/>
        <v>23.80952380952381</v>
      </c>
      <c r="O743" s="35">
        <v>10</v>
      </c>
      <c r="P743" s="38">
        <f t="shared" si="2"/>
        <v>100</v>
      </c>
      <c r="Q743" s="134" t="s">
        <v>63</v>
      </c>
      <c r="R743" s="134" t="str">
        <f t="shared" si="3"/>
        <v>X</v>
      </c>
      <c r="S743" s="135"/>
      <c r="T743" s="34" t="str">
        <f>IF('PL1(Full)'!$N743&gt;=20,"x",IF(AND('PL1(Full)'!$N743&gt;=15,'PL1(Full)'!$P743&gt;60),"x",""))</f>
        <v>x</v>
      </c>
      <c r="U743" s="34" t="str">
        <f>IF(AND('PL1(Full)'!$H743="Thôn",'PL1(Full)'!$I743&lt;75),"x",IF(AND('PL1(Full)'!$H743="Tổ",'PL1(Full)'!$I743&lt;100),"x","-"))</f>
        <v>x</v>
      </c>
      <c r="V743" s="34" t="str">
        <f>IF(AND('PL1(Full)'!$H743="Thôn",'PL1(Full)'!$I743&lt;140),"x",IF(AND('PL1(Full)'!$H743="Tổ",'PL1(Full)'!$I743&lt;210),"x","-"))</f>
        <v>x</v>
      </c>
      <c r="W743" s="40" t="str">
        <f t="shared" si="148"/>
        <v>Loại 3</v>
      </c>
      <c r="X743" s="32"/>
    </row>
    <row r="744" spans="1:24" ht="15.75" customHeight="1">
      <c r="A744" s="30">
        <f>_xlfn.AGGREGATE(4,7,A$6:A743)+1</f>
        <v>530</v>
      </c>
      <c r="B744" s="66" t="str">
        <f t="shared" si="147"/>
        <v>H. Na Rì</v>
      </c>
      <c r="C744" s="33" t="str">
        <f t="shared" si="150"/>
        <v>X. Cư Lễ</v>
      </c>
      <c r="D744" s="32"/>
      <c r="E744" s="32" t="s">
        <v>58</v>
      </c>
      <c r="F744" s="33" t="s">
        <v>829</v>
      </c>
      <c r="G744" s="32"/>
      <c r="H744" s="32" t="str">
        <f>IF(LEFT('PL1(Full)'!$F744,4)="Thôn","Thôn","Tổ")</f>
        <v>Thôn</v>
      </c>
      <c r="I744" s="35">
        <v>59</v>
      </c>
      <c r="J744" s="35">
        <v>259</v>
      </c>
      <c r="K744" s="35">
        <v>59</v>
      </c>
      <c r="L744" s="37">
        <f t="shared" si="0"/>
        <v>100</v>
      </c>
      <c r="M744" s="35">
        <v>49</v>
      </c>
      <c r="N744" s="38">
        <f t="shared" si="1"/>
        <v>83.050847457627114</v>
      </c>
      <c r="O744" s="35">
        <v>49</v>
      </c>
      <c r="P744" s="38">
        <f t="shared" si="2"/>
        <v>100</v>
      </c>
      <c r="Q744" s="134" t="s">
        <v>82</v>
      </c>
      <c r="R744" s="134" t="str">
        <f t="shared" si="3"/>
        <v>X</v>
      </c>
      <c r="S744" s="135" t="s">
        <v>60</v>
      </c>
      <c r="T744" s="34" t="str">
        <f>IF('PL1(Full)'!$N744&gt;=20,"x",IF(AND('PL1(Full)'!$N744&gt;=15,'PL1(Full)'!$P744&gt;60),"x",""))</f>
        <v>x</v>
      </c>
      <c r="U744" s="34" t="str">
        <f>IF(AND('PL1(Full)'!$H744="Thôn",'PL1(Full)'!$I744&lt;75),"x",IF(AND('PL1(Full)'!$H744="Tổ",'PL1(Full)'!$I744&lt;100),"x","-"))</f>
        <v>x</v>
      </c>
      <c r="V744" s="34" t="str">
        <f>IF(AND('PL1(Full)'!$H744="Thôn",'PL1(Full)'!$I744&lt;140),"x",IF(AND('PL1(Full)'!$H744="Tổ",'PL1(Full)'!$I744&lt;210),"x","-"))</f>
        <v>x</v>
      </c>
      <c r="W744" s="40" t="str">
        <f t="shared" si="148"/>
        <v>Loại 3</v>
      </c>
      <c r="X744" s="32"/>
    </row>
    <row r="745" spans="1:24" ht="15.75" customHeight="1">
      <c r="A745" s="30">
        <f>_xlfn.AGGREGATE(4,7,A$6:A744)+1</f>
        <v>531</v>
      </c>
      <c r="B745" s="66" t="str">
        <f t="shared" si="147"/>
        <v>H. Na Rì</v>
      </c>
      <c r="C745" s="33" t="str">
        <f t="shared" si="150"/>
        <v>X. Cư Lễ</v>
      </c>
      <c r="D745" s="32"/>
      <c r="E745" s="32" t="s">
        <v>58</v>
      </c>
      <c r="F745" s="33" t="s">
        <v>134</v>
      </c>
      <c r="G745" s="32"/>
      <c r="H745" s="32" t="str">
        <f>IF(LEFT('PL1(Full)'!$F745,4)="Thôn","Thôn","Tổ")</f>
        <v>Thôn</v>
      </c>
      <c r="I745" s="35">
        <v>55</v>
      </c>
      <c r="J745" s="35">
        <v>231</v>
      </c>
      <c r="K745" s="35">
        <v>53</v>
      </c>
      <c r="L745" s="37">
        <f t="shared" si="0"/>
        <v>96.36363636363636</v>
      </c>
      <c r="M745" s="35">
        <v>30</v>
      </c>
      <c r="N745" s="38">
        <f t="shared" si="1"/>
        <v>54.545454545454547</v>
      </c>
      <c r="O745" s="35">
        <v>29</v>
      </c>
      <c r="P745" s="38">
        <f t="shared" si="2"/>
        <v>96.666666666666671</v>
      </c>
      <c r="Q745" s="134" t="s">
        <v>82</v>
      </c>
      <c r="R745" s="134" t="str">
        <f t="shared" si="3"/>
        <v>X</v>
      </c>
      <c r="S745" s="135" t="s">
        <v>60</v>
      </c>
      <c r="T745" s="34" t="str">
        <f>IF('PL1(Full)'!$N745&gt;=20,"x",IF(AND('PL1(Full)'!$N745&gt;=15,'PL1(Full)'!$P745&gt;60),"x",""))</f>
        <v>x</v>
      </c>
      <c r="U745" s="34" t="str">
        <f>IF(AND('PL1(Full)'!$H745="Thôn",'PL1(Full)'!$I745&lt;75),"x",IF(AND('PL1(Full)'!$H745="Tổ",'PL1(Full)'!$I745&lt;100),"x","-"))</f>
        <v>x</v>
      </c>
      <c r="V745" s="34" t="str">
        <f>IF(AND('PL1(Full)'!$H745="Thôn",'PL1(Full)'!$I745&lt;140),"x",IF(AND('PL1(Full)'!$H745="Tổ",'PL1(Full)'!$I745&lt;210),"x","-"))</f>
        <v>x</v>
      </c>
      <c r="W745" s="40" t="str">
        <f t="shared" si="148"/>
        <v>Loại 3</v>
      </c>
      <c r="X745" s="32"/>
    </row>
    <row r="746" spans="1:24" ht="15.75" customHeight="1">
      <c r="A746" s="30">
        <f>_xlfn.AGGREGATE(4,7,A$6:A745)+1</f>
        <v>532</v>
      </c>
      <c r="B746" s="66" t="str">
        <f t="shared" si="147"/>
        <v>H. Na Rì</v>
      </c>
      <c r="C746" s="33" t="str">
        <f t="shared" si="150"/>
        <v>X. Cư Lễ</v>
      </c>
      <c r="D746" s="32"/>
      <c r="E746" s="32" t="s">
        <v>58</v>
      </c>
      <c r="F746" s="33" t="s">
        <v>362</v>
      </c>
      <c r="G746" s="32"/>
      <c r="H746" s="32" t="str">
        <f>IF(LEFT('PL1(Full)'!$F746,4)="Thôn","Thôn","Tổ")</f>
        <v>Thôn</v>
      </c>
      <c r="I746" s="35">
        <v>45</v>
      </c>
      <c r="J746" s="35">
        <v>181</v>
      </c>
      <c r="K746" s="35">
        <v>45</v>
      </c>
      <c r="L746" s="37">
        <f t="shared" si="0"/>
        <v>100</v>
      </c>
      <c r="M746" s="35">
        <v>27</v>
      </c>
      <c r="N746" s="38">
        <f t="shared" si="1"/>
        <v>60</v>
      </c>
      <c r="O746" s="35">
        <v>27</v>
      </c>
      <c r="P746" s="38">
        <f t="shared" si="2"/>
        <v>100</v>
      </c>
      <c r="Q746" s="134" t="s">
        <v>63</v>
      </c>
      <c r="R746" s="134" t="str">
        <f t="shared" si="3"/>
        <v>X</v>
      </c>
      <c r="S746" s="135" t="s">
        <v>60</v>
      </c>
      <c r="T746" s="34" t="str">
        <f>IF('PL1(Full)'!$N746&gt;=20,"x",IF(AND('PL1(Full)'!$N746&gt;=15,'PL1(Full)'!$P746&gt;60),"x",""))</f>
        <v>x</v>
      </c>
      <c r="U746" s="34" t="str">
        <f>IF(AND('PL1(Full)'!$H746="Thôn",'PL1(Full)'!$I746&lt;75),"x",IF(AND('PL1(Full)'!$H746="Tổ",'PL1(Full)'!$I746&lt;100),"x","-"))</f>
        <v>x</v>
      </c>
      <c r="V746" s="34" t="str">
        <f>IF(AND('PL1(Full)'!$H746="Thôn",'PL1(Full)'!$I746&lt;140),"x",IF(AND('PL1(Full)'!$H746="Tổ",'PL1(Full)'!$I746&lt;210),"x","-"))</f>
        <v>x</v>
      </c>
      <c r="W746" s="40" t="str">
        <f t="shared" si="148"/>
        <v>Loại 3</v>
      </c>
      <c r="X746" s="32"/>
    </row>
    <row r="747" spans="1:24" ht="15.75" customHeight="1">
      <c r="A747" s="30">
        <f>_xlfn.AGGREGATE(4,7,A$6:A746)+1</f>
        <v>533</v>
      </c>
      <c r="B747" s="66" t="str">
        <f t="shared" si="147"/>
        <v>H. Na Rì</v>
      </c>
      <c r="C747" s="33" t="str">
        <f t="shared" si="150"/>
        <v>X. Cư Lễ</v>
      </c>
      <c r="D747" s="32"/>
      <c r="E747" s="32" t="s">
        <v>58</v>
      </c>
      <c r="F747" s="33" t="s">
        <v>830</v>
      </c>
      <c r="G747" s="32"/>
      <c r="H747" s="32" t="str">
        <f>IF(LEFT('PL1(Full)'!$F747,4)="Thôn","Thôn","Tổ")</f>
        <v>Thôn</v>
      </c>
      <c r="I747" s="35">
        <v>16</v>
      </c>
      <c r="J747" s="35">
        <v>59</v>
      </c>
      <c r="K747" s="35">
        <v>16</v>
      </c>
      <c r="L747" s="37">
        <f t="shared" si="0"/>
        <v>100</v>
      </c>
      <c r="M747" s="35">
        <v>6</v>
      </c>
      <c r="N747" s="38">
        <f t="shared" si="1"/>
        <v>37.5</v>
      </c>
      <c r="O747" s="35">
        <v>9</v>
      </c>
      <c r="P747" s="38">
        <f t="shared" si="2"/>
        <v>150</v>
      </c>
      <c r="Q747" s="134" t="s">
        <v>63</v>
      </c>
      <c r="R747" s="140" t="str">
        <f t="shared" si="3"/>
        <v>X</v>
      </c>
      <c r="S747" s="141" t="s">
        <v>60</v>
      </c>
      <c r="T747" s="34" t="str">
        <f>IF('PL1(Full)'!$N747&gt;=20,"x",IF(AND('PL1(Full)'!$N747&gt;=15,'PL1(Full)'!$P747&gt;60),"x",""))</f>
        <v>x</v>
      </c>
      <c r="U747" s="34" t="str">
        <f>IF(AND('PL1(Full)'!$H747="Thôn",'PL1(Full)'!$I747&lt;75),"x",IF(AND('PL1(Full)'!$H747="Tổ",'PL1(Full)'!$I747&lt;100),"x","-"))</f>
        <v>x</v>
      </c>
      <c r="V747" s="34" t="str">
        <f>IF(AND('PL1(Full)'!$H747="Thôn",'PL1(Full)'!$I747&lt;140),"x",IF(AND('PL1(Full)'!$H747="Tổ",'PL1(Full)'!$I747&lt;210),"x","-"))</f>
        <v>x</v>
      </c>
      <c r="W747" s="40" t="str">
        <f t="shared" si="148"/>
        <v>Loại 3</v>
      </c>
      <c r="X747" s="32"/>
    </row>
    <row r="748" spans="1:24" ht="15.75" customHeight="1">
      <c r="A748" s="30">
        <f>_xlfn.AGGREGATE(4,7,A$6:A747)+1</f>
        <v>534</v>
      </c>
      <c r="B748" s="66" t="str">
        <f t="shared" si="147"/>
        <v>H. Na Rì</v>
      </c>
      <c r="C748" s="33" t="str">
        <f t="shared" si="150"/>
        <v>X. Cư Lễ</v>
      </c>
      <c r="D748" s="32"/>
      <c r="E748" s="32" t="s">
        <v>58</v>
      </c>
      <c r="F748" s="33" t="s">
        <v>249</v>
      </c>
      <c r="G748" s="32"/>
      <c r="H748" s="32" t="str">
        <f>IF(LEFT('PL1(Full)'!$F748,4)="Thôn","Thôn","Tổ")</f>
        <v>Thôn</v>
      </c>
      <c r="I748" s="35">
        <v>24</v>
      </c>
      <c r="J748" s="35">
        <v>106</v>
      </c>
      <c r="K748" s="35">
        <v>24</v>
      </c>
      <c r="L748" s="37">
        <f t="shared" si="0"/>
        <v>100</v>
      </c>
      <c r="M748" s="35">
        <v>4</v>
      </c>
      <c r="N748" s="38">
        <f t="shared" si="1"/>
        <v>16.666666666666668</v>
      </c>
      <c r="O748" s="35">
        <v>4</v>
      </c>
      <c r="P748" s="38">
        <f t="shared" si="2"/>
        <v>100</v>
      </c>
      <c r="Q748" s="134" t="s">
        <v>63</v>
      </c>
      <c r="R748" s="134" t="str">
        <f t="shared" si="3"/>
        <v>X</v>
      </c>
      <c r="S748" s="135"/>
      <c r="T748" s="34" t="str">
        <f>IF('PL1(Full)'!$N748&gt;=20,"x",IF(AND('PL1(Full)'!$N748&gt;=15,'PL1(Full)'!$P748&gt;60),"x",""))</f>
        <v>x</v>
      </c>
      <c r="U748" s="34" t="str">
        <f>IF(AND('PL1(Full)'!$H748="Thôn",'PL1(Full)'!$I748&lt;75),"x",IF(AND('PL1(Full)'!$H748="Tổ",'PL1(Full)'!$I748&lt;100),"x","-"))</f>
        <v>x</v>
      </c>
      <c r="V748" s="34" t="str">
        <f>IF(AND('PL1(Full)'!$H748="Thôn",'PL1(Full)'!$I748&lt;140),"x",IF(AND('PL1(Full)'!$H748="Tổ",'PL1(Full)'!$I748&lt;210),"x","-"))</f>
        <v>x</v>
      </c>
      <c r="W748" s="40" t="str">
        <f t="shared" si="148"/>
        <v>Loại 3</v>
      </c>
      <c r="X748" s="32"/>
    </row>
    <row r="749" spans="1:24" ht="15.75" customHeight="1">
      <c r="A749" s="30">
        <f>_xlfn.AGGREGATE(4,7,A$6:A748)+1</f>
        <v>535</v>
      </c>
      <c r="B749" s="66" t="str">
        <f t="shared" si="147"/>
        <v>H. Na Rì</v>
      </c>
      <c r="C749" s="33" t="str">
        <f t="shared" si="150"/>
        <v>X. Cư Lễ</v>
      </c>
      <c r="D749" s="32"/>
      <c r="E749" s="32" t="s">
        <v>58</v>
      </c>
      <c r="F749" s="33" t="s">
        <v>831</v>
      </c>
      <c r="G749" s="32"/>
      <c r="H749" s="32" t="str">
        <f>IF(LEFT('PL1(Full)'!$F749,4)="Thôn","Thôn","Tổ")</f>
        <v>Thôn</v>
      </c>
      <c r="I749" s="35">
        <v>43</v>
      </c>
      <c r="J749" s="35">
        <v>187</v>
      </c>
      <c r="K749" s="35">
        <v>43</v>
      </c>
      <c r="L749" s="37">
        <f t="shared" si="0"/>
        <v>100</v>
      </c>
      <c r="M749" s="35">
        <v>19</v>
      </c>
      <c r="N749" s="38">
        <f t="shared" si="1"/>
        <v>44.186046511627907</v>
      </c>
      <c r="O749" s="35">
        <v>19</v>
      </c>
      <c r="P749" s="38">
        <f t="shared" si="2"/>
        <v>100</v>
      </c>
      <c r="Q749" s="140" t="s">
        <v>63</v>
      </c>
      <c r="R749" s="140" t="str">
        <f t="shared" si="3"/>
        <v>X</v>
      </c>
      <c r="S749" s="141" t="s">
        <v>60</v>
      </c>
      <c r="T749" s="34" t="str">
        <f>IF('PL1(Full)'!$N749&gt;=20,"x",IF(AND('PL1(Full)'!$N749&gt;=15,'PL1(Full)'!$P749&gt;60),"x",""))</f>
        <v>x</v>
      </c>
      <c r="U749" s="34" t="str">
        <f>IF(AND('PL1(Full)'!$H749="Thôn",'PL1(Full)'!$I749&lt;75),"x",IF(AND('PL1(Full)'!$H749="Tổ",'PL1(Full)'!$I749&lt;100),"x","-"))</f>
        <v>x</v>
      </c>
      <c r="V749" s="34" t="str">
        <f>IF(AND('PL1(Full)'!$H749="Thôn",'PL1(Full)'!$I749&lt;140),"x",IF(AND('PL1(Full)'!$H749="Tổ",'PL1(Full)'!$I749&lt;210),"x","-"))</f>
        <v>x</v>
      </c>
      <c r="W749" s="40" t="str">
        <f t="shared" si="148"/>
        <v>Loại 3</v>
      </c>
      <c r="X749" s="32"/>
    </row>
    <row r="750" spans="1:24" ht="15.75" customHeight="1">
      <c r="A750" s="30">
        <f>_xlfn.AGGREGATE(4,7,A$6:A749)+1</f>
        <v>536</v>
      </c>
      <c r="B750" s="66" t="str">
        <f t="shared" si="147"/>
        <v>H. Na Rì</v>
      </c>
      <c r="C750" s="33" t="str">
        <f t="shared" si="150"/>
        <v>X. Cư Lễ</v>
      </c>
      <c r="D750" s="32"/>
      <c r="E750" s="32" t="s">
        <v>58</v>
      </c>
      <c r="F750" s="33" t="s">
        <v>832</v>
      </c>
      <c r="G750" s="32"/>
      <c r="H750" s="32" t="str">
        <f>IF(LEFT('PL1(Full)'!$F750,4)="Thôn","Thôn","Tổ")</f>
        <v>Thôn</v>
      </c>
      <c r="I750" s="35">
        <v>37</v>
      </c>
      <c r="J750" s="35">
        <v>156</v>
      </c>
      <c r="K750" s="35">
        <v>36</v>
      </c>
      <c r="L750" s="37">
        <f t="shared" si="0"/>
        <v>97.297297297297291</v>
      </c>
      <c r="M750" s="35">
        <v>7</v>
      </c>
      <c r="N750" s="38">
        <f t="shared" si="1"/>
        <v>18.918918918918919</v>
      </c>
      <c r="O750" s="35">
        <v>7</v>
      </c>
      <c r="P750" s="38">
        <f t="shared" si="2"/>
        <v>100</v>
      </c>
      <c r="Q750" s="140" t="s">
        <v>63</v>
      </c>
      <c r="R750" s="140" t="str">
        <f t="shared" si="3"/>
        <v>X</v>
      </c>
      <c r="S750" s="141"/>
      <c r="T750" s="34" t="str">
        <f>IF('PL1(Full)'!$N750&gt;=20,"x",IF(AND('PL1(Full)'!$N750&gt;=15,'PL1(Full)'!$P750&gt;60),"x",""))</f>
        <v>x</v>
      </c>
      <c r="U750" s="34" t="str">
        <f>IF(AND('PL1(Full)'!$H750="Thôn",'PL1(Full)'!$I750&lt;75),"x",IF(AND('PL1(Full)'!$H750="Tổ",'PL1(Full)'!$I750&lt;100),"x","-"))</f>
        <v>x</v>
      </c>
      <c r="V750" s="34" t="str">
        <f>IF(AND('PL1(Full)'!$H750="Thôn",'PL1(Full)'!$I750&lt;140),"x",IF(AND('PL1(Full)'!$H750="Tổ",'PL1(Full)'!$I750&lt;210),"x","-"))</f>
        <v>x</v>
      </c>
      <c r="W750" s="40" t="str">
        <f t="shared" si="148"/>
        <v>Loại 3</v>
      </c>
      <c r="X750" s="32"/>
    </row>
    <row r="751" spans="1:24" ht="15.75" customHeight="1">
      <c r="A751" s="41">
        <f>_xlfn.AGGREGATE(4,7,A$6:A750)+1</f>
        <v>537</v>
      </c>
      <c r="B751" s="67" t="str">
        <f t="shared" si="147"/>
        <v>H. Na Rì</v>
      </c>
      <c r="C751" s="44" t="str">
        <f t="shared" si="150"/>
        <v>X. Cư Lễ</v>
      </c>
      <c r="D751" s="43"/>
      <c r="E751" s="43" t="s">
        <v>58</v>
      </c>
      <c r="F751" s="44" t="s">
        <v>833</v>
      </c>
      <c r="G751" s="43"/>
      <c r="H751" s="43" t="str">
        <f>IF(LEFT('PL1(Full)'!$F751,4)="Thôn","Thôn","Tổ")</f>
        <v>Thôn</v>
      </c>
      <c r="I751" s="45">
        <v>49</v>
      </c>
      <c r="J751" s="45">
        <v>209</v>
      </c>
      <c r="K751" s="45">
        <v>49</v>
      </c>
      <c r="L751" s="47">
        <f t="shared" si="0"/>
        <v>100</v>
      </c>
      <c r="M751" s="45">
        <v>40</v>
      </c>
      <c r="N751" s="48">
        <f t="shared" si="1"/>
        <v>81.632653061224488</v>
      </c>
      <c r="O751" s="45">
        <v>40</v>
      </c>
      <c r="P751" s="48">
        <f t="shared" si="2"/>
        <v>100</v>
      </c>
      <c r="Q751" s="136" t="s">
        <v>63</v>
      </c>
      <c r="R751" s="136" t="str">
        <f t="shared" si="3"/>
        <v>X</v>
      </c>
      <c r="S751" s="137" t="s">
        <v>60</v>
      </c>
      <c r="T751" s="50" t="str">
        <f>IF('PL1(Full)'!$N751&gt;=20,"x",IF(AND('PL1(Full)'!$N751&gt;=15,'PL1(Full)'!$P751&gt;60),"x",""))</f>
        <v>x</v>
      </c>
      <c r="U751" s="50" t="str">
        <f>IF(AND('PL1(Full)'!$H751="Thôn",'PL1(Full)'!$I751&lt;75),"x",IF(AND('PL1(Full)'!$H751="Tổ",'PL1(Full)'!$I751&lt;100),"x","-"))</f>
        <v>x</v>
      </c>
      <c r="V751" s="34" t="str">
        <f>IF(AND('PL1(Full)'!$H751="Thôn",'PL1(Full)'!$I751&lt;140),"x",IF(AND('PL1(Full)'!$H751="Tổ",'PL1(Full)'!$I751&lt;210),"x","-"))</f>
        <v>x</v>
      </c>
      <c r="W751" s="51" t="str">
        <f t="shared" si="148"/>
        <v>Loại 3</v>
      </c>
      <c r="X751" s="43"/>
    </row>
    <row r="752" spans="1:24" ht="15.75" customHeight="1">
      <c r="A752" s="52">
        <f>_xlfn.AGGREGATE(4,7,A$6:A751)+1</f>
        <v>538</v>
      </c>
      <c r="B752" s="65" t="str">
        <f t="shared" si="147"/>
        <v>H. Na Rì</v>
      </c>
      <c r="C752" s="14" t="s">
        <v>834</v>
      </c>
      <c r="D752" s="15" t="s">
        <v>102</v>
      </c>
      <c r="E752" s="16" t="s">
        <v>102</v>
      </c>
      <c r="F752" s="17" t="s">
        <v>835</v>
      </c>
      <c r="G752" s="18"/>
      <c r="H752" s="18" t="str">
        <f>IF(LEFT('PL1(Full)'!$F752,4)="Thôn","Thôn","Tổ")</f>
        <v>Thôn</v>
      </c>
      <c r="I752" s="19">
        <v>66</v>
      </c>
      <c r="J752" s="19">
        <v>265</v>
      </c>
      <c r="K752" s="19">
        <v>57</v>
      </c>
      <c r="L752" s="21">
        <f t="shared" si="0"/>
        <v>86.36363636363636</v>
      </c>
      <c r="M752" s="19">
        <v>9</v>
      </c>
      <c r="N752" s="22">
        <f t="shared" si="1"/>
        <v>13.636363636363637</v>
      </c>
      <c r="O752" s="19">
        <v>7</v>
      </c>
      <c r="P752" s="22">
        <f t="shared" si="2"/>
        <v>77.777777777777771</v>
      </c>
      <c r="Q752" s="132" t="s">
        <v>82</v>
      </c>
      <c r="R752" s="132" t="str">
        <f t="shared" si="3"/>
        <v>X</v>
      </c>
      <c r="S752" s="133"/>
      <c r="T752" s="26" t="str">
        <f>IF('PL1(Full)'!$N752&gt;=20,"x",IF(AND('PL1(Full)'!$N752&gt;=15,'PL1(Full)'!$P752&gt;60),"x",""))</f>
        <v/>
      </c>
      <c r="U752" s="27" t="str">
        <f>IF(AND('PL1(Full)'!$H752="Thôn",'PL1(Full)'!$I752&lt;75),"x",IF(AND('PL1(Full)'!$H752="Tổ",'PL1(Full)'!$I752&lt;100),"x","-"))</f>
        <v>x</v>
      </c>
      <c r="V752" s="28" t="str">
        <f>IF(AND('PL1(Full)'!$H752="Thôn",'PL1(Full)'!$I752&lt;140),"x",IF(AND('PL1(Full)'!$H752="Tổ",'PL1(Full)'!$I752&lt;210),"x","-"))</f>
        <v>x</v>
      </c>
      <c r="W752" s="29" t="str">
        <f t="shared" si="148"/>
        <v>Loại 3</v>
      </c>
      <c r="X752" s="18"/>
    </row>
    <row r="753" spans="1:24" ht="15.75" customHeight="1">
      <c r="A753" s="30">
        <f>_xlfn.AGGREGATE(4,7,A$6:A752)+1</f>
        <v>539</v>
      </c>
      <c r="B753" s="66" t="str">
        <f t="shared" si="147"/>
        <v>H. Na Rì</v>
      </c>
      <c r="C753" s="33" t="str">
        <f t="shared" ref="C753:C761" si="151">C752</f>
        <v>X. Cường Lợi</v>
      </c>
      <c r="D753" s="32"/>
      <c r="E753" s="32" t="s">
        <v>102</v>
      </c>
      <c r="F753" s="33" t="s">
        <v>836</v>
      </c>
      <c r="G753" s="32"/>
      <c r="H753" s="32" t="str">
        <f>IF(LEFT('PL1(Full)'!$F753,4)="Thôn","Thôn","Tổ")</f>
        <v>Thôn</v>
      </c>
      <c r="I753" s="35">
        <v>64</v>
      </c>
      <c r="J753" s="35">
        <v>286</v>
      </c>
      <c r="K753" s="35">
        <v>64</v>
      </c>
      <c r="L753" s="37">
        <f t="shared" si="0"/>
        <v>100</v>
      </c>
      <c r="M753" s="35">
        <v>4</v>
      </c>
      <c r="N753" s="38">
        <f t="shared" si="1"/>
        <v>6.25</v>
      </c>
      <c r="O753" s="35">
        <v>4</v>
      </c>
      <c r="P753" s="38">
        <f t="shared" si="2"/>
        <v>100</v>
      </c>
      <c r="Q753" s="134" t="s">
        <v>56</v>
      </c>
      <c r="R753" s="134" t="str">
        <f t="shared" si="3"/>
        <v>X</v>
      </c>
      <c r="S753" s="135"/>
      <c r="T753" s="34" t="str">
        <f>IF('PL1(Full)'!$N753&gt;=20,"x",IF(AND('PL1(Full)'!$N753&gt;=15,'PL1(Full)'!$P753&gt;60),"x",""))</f>
        <v/>
      </c>
      <c r="U753" s="34" t="str">
        <f>IF(AND('PL1(Full)'!$H753="Thôn",'PL1(Full)'!$I753&lt;75),"x",IF(AND('PL1(Full)'!$H753="Tổ",'PL1(Full)'!$I753&lt;100),"x","-"))</f>
        <v>x</v>
      </c>
      <c r="V753" s="34" t="str">
        <f>IF(AND('PL1(Full)'!$H753="Thôn",'PL1(Full)'!$I753&lt;140),"x",IF(AND('PL1(Full)'!$H753="Tổ",'PL1(Full)'!$I753&lt;210),"x","-"))</f>
        <v>x</v>
      </c>
      <c r="W753" s="40" t="str">
        <f t="shared" si="148"/>
        <v>Loại 3</v>
      </c>
      <c r="X753" s="32"/>
    </row>
    <row r="754" spans="1:24" ht="15.75" customHeight="1">
      <c r="A754" s="30">
        <f>_xlfn.AGGREGATE(4,7,A$6:A753)+1</f>
        <v>540</v>
      </c>
      <c r="B754" s="66" t="str">
        <f t="shared" si="147"/>
        <v>H. Na Rì</v>
      </c>
      <c r="C754" s="33" t="str">
        <f t="shared" si="151"/>
        <v>X. Cường Lợi</v>
      </c>
      <c r="D754" s="32"/>
      <c r="E754" s="32" t="s">
        <v>102</v>
      </c>
      <c r="F754" s="33" t="s">
        <v>542</v>
      </c>
      <c r="G754" s="32"/>
      <c r="H754" s="32" t="str">
        <f>IF(LEFT('PL1(Full)'!$F754,4)="Thôn","Thôn","Tổ")</f>
        <v>Thôn</v>
      </c>
      <c r="I754" s="35">
        <v>60</v>
      </c>
      <c r="J754" s="35">
        <v>250</v>
      </c>
      <c r="K754" s="35">
        <v>60</v>
      </c>
      <c r="L754" s="37">
        <f t="shared" si="0"/>
        <v>100</v>
      </c>
      <c r="M754" s="35">
        <v>3</v>
      </c>
      <c r="N754" s="38">
        <f t="shared" si="1"/>
        <v>5</v>
      </c>
      <c r="O754" s="35">
        <v>3</v>
      </c>
      <c r="P754" s="38">
        <f t="shared" si="2"/>
        <v>100</v>
      </c>
      <c r="Q754" s="134" t="s">
        <v>56</v>
      </c>
      <c r="R754" s="134" t="str">
        <f t="shared" si="3"/>
        <v>X</v>
      </c>
      <c r="S754" s="135"/>
      <c r="T754" s="34" t="str">
        <f>IF('PL1(Full)'!$N754&gt;=20,"x",IF(AND('PL1(Full)'!$N754&gt;=15,'PL1(Full)'!$P754&gt;60),"x",""))</f>
        <v/>
      </c>
      <c r="U754" s="34" t="str">
        <f>IF(AND('PL1(Full)'!$H754="Thôn",'PL1(Full)'!$I754&lt;75),"x",IF(AND('PL1(Full)'!$H754="Tổ",'PL1(Full)'!$I754&lt;100),"x","-"))</f>
        <v>x</v>
      </c>
      <c r="V754" s="34" t="str">
        <f>IF(AND('PL1(Full)'!$H754="Thôn",'PL1(Full)'!$I754&lt;140),"x",IF(AND('PL1(Full)'!$H754="Tổ",'PL1(Full)'!$I754&lt;210),"x","-"))</f>
        <v>x</v>
      </c>
      <c r="W754" s="40" t="str">
        <f t="shared" si="148"/>
        <v>Loại 3</v>
      </c>
      <c r="X754" s="32"/>
    </row>
    <row r="755" spans="1:24" ht="15.75" hidden="1" customHeight="1">
      <c r="A755" s="30">
        <f>_xlfn.AGGREGATE(4,7,A$6:A754)+1</f>
        <v>541</v>
      </c>
      <c r="B755" s="66" t="str">
        <f t="shared" si="147"/>
        <v>H. Na Rì</v>
      </c>
      <c r="C755" s="33" t="str">
        <f t="shared" si="151"/>
        <v>X. Cường Lợi</v>
      </c>
      <c r="D755" s="32"/>
      <c r="E755" s="32" t="s">
        <v>102</v>
      </c>
      <c r="F755" s="33" t="s">
        <v>837</v>
      </c>
      <c r="G755" s="32"/>
      <c r="H755" s="32" t="str">
        <f>IF(LEFT('PL1(Full)'!$F755,4)="Thôn","Thôn","Tổ")</f>
        <v>Thôn</v>
      </c>
      <c r="I755" s="35">
        <v>89</v>
      </c>
      <c r="J755" s="35">
        <v>376</v>
      </c>
      <c r="K755" s="35">
        <v>89</v>
      </c>
      <c r="L755" s="37">
        <f t="shared" si="0"/>
        <v>100</v>
      </c>
      <c r="M755" s="35">
        <v>13</v>
      </c>
      <c r="N755" s="38">
        <f t="shared" si="1"/>
        <v>14.606741573033707</v>
      </c>
      <c r="O755" s="35">
        <v>13</v>
      </c>
      <c r="P755" s="38">
        <f t="shared" si="2"/>
        <v>100</v>
      </c>
      <c r="Q755" s="134" t="s">
        <v>150</v>
      </c>
      <c r="R755" s="134" t="str">
        <f t="shared" si="3"/>
        <v>X</v>
      </c>
      <c r="S755" s="135"/>
      <c r="T755" s="34" t="str">
        <f>IF('PL1(Full)'!$N755&gt;=20,"x",IF(AND('PL1(Full)'!$N755&gt;=15,'PL1(Full)'!$P755&gt;60),"x",""))</f>
        <v/>
      </c>
      <c r="U755" s="34" t="str">
        <f>IF(AND('PL1(Full)'!$H755="Thôn",'PL1(Full)'!$I755&lt;75),"x",IF(AND('PL1(Full)'!$H755="Tổ",'PL1(Full)'!$I755&lt;100),"x","-"))</f>
        <v>-</v>
      </c>
      <c r="V755" s="34" t="str">
        <f>IF(AND('PL1(Full)'!$H755="Thôn",'PL1(Full)'!$I755&lt;140),"x",IF(AND('PL1(Full)'!$H755="Tổ",'PL1(Full)'!$I755&lt;210),"x","-"))</f>
        <v>x</v>
      </c>
      <c r="W755" s="40" t="str">
        <f t="shared" si="148"/>
        <v>Loại 3</v>
      </c>
      <c r="X755" s="32"/>
    </row>
    <row r="756" spans="1:24" ht="15.75" customHeight="1">
      <c r="A756" s="30">
        <f>_xlfn.AGGREGATE(4,7,A$6:A755)+1</f>
        <v>541</v>
      </c>
      <c r="B756" s="66" t="str">
        <f t="shared" si="147"/>
        <v>H. Na Rì</v>
      </c>
      <c r="C756" s="33" t="str">
        <f t="shared" si="151"/>
        <v>X. Cường Lợi</v>
      </c>
      <c r="D756" s="32"/>
      <c r="E756" s="32" t="s">
        <v>102</v>
      </c>
      <c r="F756" s="33" t="s">
        <v>838</v>
      </c>
      <c r="G756" s="32"/>
      <c r="H756" s="32" t="str">
        <f>IF(LEFT('PL1(Full)'!$F756,4)="Thôn","Thôn","Tổ")</f>
        <v>Thôn</v>
      </c>
      <c r="I756" s="35">
        <v>71</v>
      </c>
      <c r="J756" s="35">
        <v>298</v>
      </c>
      <c r="K756" s="35">
        <v>65</v>
      </c>
      <c r="L756" s="37">
        <f t="shared" si="0"/>
        <v>91.549295774647888</v>
      </c>
      <c r="M756" s="35">
        <v>3</v>
      </c>
      <c r="N756" s="38">
        <f t="shared" si="1"/>
        <v>4.225352112676056</v>
      </c>
      <c r="O756" s="35">
        <v>3</v>
      </c>
      <c r="P756" s="38">
        <f t="shared" si="2"/>
        <v>100</v>
      </c>
      <c r="Q756" s="134" t="s">
        <v>56</v>
      </c>
      <c r="R756" s="134" t="str">
        <f t="shared" si="3"/>
        <v>X</v>
      </c>
      <c r="S756" s="135"/>
      <c r="T756" s="34" t="str">
        <f>IF('PL1(Full)'!$N756&gt;=20,"x",IF(AND('PL1(Full)'!$N756&gt;=15,'PL1(Full)'!$P756&gt;60),"x",""))</f>
        <v/>
      </c>
      <c r="U756" s="34" t="str">
        <f>IF(AND('PL1(Full)'!$H756="Thôn",'PL1(Full)'!$I756&lt;75),"x",IF(AND('PL1(Full)'!$H756="Tổ",'PL1(Full)'!$I756&lt;100),"x","-"))</f>
        <v>x</v>
      </c>
      <c r="V756" s="34" t="str">
        <f>IF(AND('PL1(Full)'!$H756="Thôn",'PL1(Full)'!$I756&lt;140),"x",IF(AND('PL1(Full)'!$H756="Tổ",'PL1(Full)'!$I756&lt;210),"x","-"))</f>
        <v>x</v>
      </c>
      <c r="W756" s="40" t="str">
        <f t="shared" si="148"/>
        <v>Loại 3</v>
      </c>
      <c r="X756" s="32"/>
    </row>
    <row r="757" spans="1:24" ht="15.75" hidden="1" customHeight="1">
      <c r="A757" s="30">
        <f>_xlfn.AGGREGATE(4,7,A$6:A756)+1</f>
        <v>542</v>
      </c>
      <c r="B757" s="66" t="str">
        <f t="shared" si="147"/>
        <v>H. Na Rì</v>
      </c>
      <c r="C757" s="33" t="str">
        <f t="shared" si="151"/>
        <v>X. Cường Lợi</v>
      </c>
      <c r="D757" s="32"/>
      <c r="E757" s="32" t="s">
        <v>102</v>
      </c>
      <c r="F757" s="33" t="s">
        <v>839</v>
      </c>
      <c r="G757" s="32"/>
      <c r="H757" s="32" t="str">
        <f>IF(LEFT('PL1(Full)'!$F757,4)="Thôn","Thôn","Tổ")</f>
        <v>Thôn</v>
      </c>
      <c r="I757" s="35">
        <v>82</v>
      </c>
      <c r="J757" s="35">
        <v>344</v>
      </c>
      <c r="K757" s="35">
        <v>82</v>
      </c>
      <c r="L757" s="37">
        <f t="shared" si="0"/>
        <v>100</v>
      </c>
      <c r="M757" s="35">
        <v>3</v>
      </c>
      <c r="N757" s="38">
        <f t="shared" si="1"/>
        <v>3.6585365853658538</v>
      </c>
      <c r="O757" s="35">
        <v>3</v>
      </c>
      <c r="P757" s="38">
        <f t="shared" si="2"/>
        <v>100</v>
      </c>
      <c r="Q757" s="134" t="s">
        <v>49</v>
      </c>
      <c r="R757" s="134" t="str">
        <f t="shared" si="3"/>
        <v>X</v>
      </c>
      <c r="S757" s="135"/>
      <c r="T757" s="34" t="str">
        <f>IF('PL1(Full)'!$N757&gt;=20,"x",IF(AND('PL1(Full)'!$N757&gt;=15,'PL1(Full)'!$P757&gt;60),"x",""))</f>
        <v/>
      </c>
      <c r="U757" s="34" t="str">
        <f>IF(AND('PL1(Full)'!$H757="Thôn",'PL1(Full)'!$I757&lt;75),"x",IF(AND('PL1(Full)'!$H757="Tổ",'PL1(Full)'!$I757&lt;100),"x","-"))</f>
        <v>-</v>
      </c>
      <c r="V757" s="34" t="str">
        <f>IF(AND('PL1(Full)'!$H757="Thôn",'PL1(Full)'!$I757&lt;140),"x",IF(AND('PL1(Full)'!$H757="Tổ",'PL1(Full)'!$I757&lt;210),"x","-"))</f>
        <v>x</v>
      </c>
      <c r="W757" s="40" t="str">
        <f t="shared" si="148"/>
        <v>Loại 3</v>
      </c>
      <c r="X757" s="32"/>
    </row>
    <row r="758" spans="1:24" ht="15.75" customHeight="1">
      <c r="A758" s="30">
        <f>_xlfn.AGGREGATE(4,7,A$6:A757)+1</f>
        <v>542</v>
      </c>
      <c r="B758" s="66" t="str">
        <f t="shared" si="147"/>
        <v>H. Na Rì</v>
      </c>
      <c r="C758" s="33" t="str">
        <f t="shared" si="151"/>
        <v>X. Cường Lợi</v>
      </c>
      <c r="D758" s="32"/>
      <c r="E758" s="32" t="s">
        <v>102</v>
      </c>
      <c r="F758" s="33" t="s">
        <v>396</v>
      </c>
      <c r="G758" s="32"/>
      <c r="H758" s="32" t="str">
        <f>IF(LEFT('PL1(Full)'!$F758,4)="Thôn","Thôn","Tổ")</f>
        <v>Thôn</v>
      </c>
      <c r="I758" s="35">
        <v>38</v>
      </c>
      <c r="J758" s="35">
        <v>176</v>
      </c>
      <c r="K758" s="35">
        <v>37</v>
      </c>
      <c r="L758" s="37">
        <f t="shared" si="0"/>
        <v>97.368421052631575</v>
      </c>
      <c r="M758" s="35">
        <v>10</v>
      </c>
      <c r="N758" s="38">
        <f t="shared" si="1"/>
        <v>26.315789473684209</v>
      </c>
      <c r="O758" s="35">
        <v>10</v>
      </c>
      <c r="P758" s="38">
        <f t="shared" si="2"/>
        <v>100</v>
      </c>
      <c r="Q758" s="140" t="s">
        <v>49</v>
      </c>
      <c r="R758" s="140" t="str">
        <f t="shared" si="3"/>
        <v>X</v>
      </c>
      <c r="S758" s="141" t="s">
        <v>60</v>
      </c>
      <c r="T758" s="34" t="str">
        <f>IF('PL1(Full)'!$N758&gt;=20,"x",IF(AND('PL1(Full)'!$N758&gt;=15,'PL1(Full)'!$P758&gt;60),"x",""))</f>
        <v>x</v>
      </c>
      <c r="U758" s="34" t="str">
        <f>IF(AND('PL1(Full)'!$H758="Thôn",'PL1(Full)'!$I758&lt;75),"x",IF(AND('PL1(Full)'!$H758="Tổ",'PL1(Full)'!$I758&lt;100),"x","-"))</f>
        <v>x</v>
      </c>
      <c r="V758" s="34" t="str">
        <f>IF(AND('PL1(Full)'!$H758="Thôn",'PL1(Full)'!$I758&lt;140),"x",IF(AND('PL1(Full)'!$H758="Tổ",'PL1(Full)'!$I758&lt;210),"x","-"))</f>
        <v>x</v>
      </c>
      <c r="W758" s="40" t="str">
        <f t="shared" si="148"/>
        <v>Loại 3</v>
      </c>
      <c r="X758" s="32"/>
    </row>
    <row r="759" spans="1:24" ht="15.75" customHeight="1">
      <c r="A759" s="30">
        <f>_xlfn.AGGREGATE(4,7,A$6:A758)+1</f>
        <v>543</v>
      </c>
      <c r="B759" s="66" t="str">
        <f t="shared" si="147"/>
        <v>H. Na Rì</v>
      </c>
      <c r="C759" s="33" t="str">
        <f t="shared" si="151"/>
        <v>X. Cường Lợi</v>
      </c>
      <c r="D759" s="32"/>
      <c r="E759" s="32" t="s">
        <v>102</v>
      </c>
      <c r="F759" s="33" t="s">
        <v>840</v>
      </c>
      <c r="G759" s="32"/>
      <c r="H759" s="32" t="str">
        <f>IF(LEFT('PL1(Full)'!$F759,4)="Thôn","Thôn","Tổ")</f>
        <v>Thôn</v>
      </c>
      <c r="I759" s="35">
        <v>36</v>
      </c>
      <c r="J759" s="35">
        <v>181</v>
      </c>
      <c r="K759" s="35">
        <v>36</v>
      </c>
      <c r="L759" s="37">
        <f t="shared" si="0"/>
        <v>100</v>
      </c>
      <c r="M759" s="35">
        <v>13</v>
      </c>
      <c r="N759" s="38">
        <f t="shared" si="1"/>
        <v>36.111111111111114</v>
      </c>
      <c r="O759" s="35">
        <v>13</v>
      </c>
      <c r="P759" s="38">
        <f t="shared" si="2"/>
        <v>100</v>
      </c>
      <c r="Q759" s="134" t="s">
        <v>63</v>
      </c>
      <c r="R759" s="134" t="str">
        <f t="shared" si="3"/>
        <v>X</v>
      </c>
      <c r="S759" s="135" t="s">
        <v>60</v>
      </c>
      <c r="T759" s="34" t="str">
        <f>IF('PL1(Full)'!$N759&gt;=20,"x",IF(AND('PL1(Full)'!$N759&gt;=15,'PL1(Full)'!$P759&gt;60),"x",""))</f>
        <v>x</v>
      </c>
      <c r="U759" s="34" t="str">
        <f>IF(AND('PL1(Full)'!$H759="Thôn",'PL1(Full)'!$I759&lt;75),"x",IF(AND('PL1(Full)'!$H759="Tổ",'PL1(Full)'!$I759&lt;100),"x","-"))</f>
        <v>x</v>
      </c>
      <c r="V759" s="34" t="str">
        <f>IF(AND('PL1(Full)'!$H759="Thôn",'PL1(Full)'!$I759&lt;140),"x",IF(AND('PL1(Full)'!$H759="Tổ",'PL1(Full)'!$I759&lt;210),"x","-"))</f>
        <v>x</v>
      </c>
      <c r="W759" s="40" t="str">
        <f t="shared" si="148"/>
        <v>Loại 3</v>
      </c>
      <c r="X759" s="32"/>
    </row>
    <row r="760" spans="1:24" ht="15.75" customHeight="1">
      <c r="A760" s="30">
        <f>_xlfn.AGGREGATE(4,7,A$6:A759)+1</f>
        <v>544</v>
      </c>
      <c r="B760" s="66" t="str">
        <f t="shared" si="147"/>
        <v>H. Na Rì</v>
      </c>
      <c r="C760" s="33" t="str">
        <f t="shared" si="151"/>
        <v>X. Cường Lợi</v>
      </c>
      <c r="D760" s="32"/>
      <c r="E760" s="32" t="s">
        <v>102</v>
      </c>
      <c r="F760" s="33" t="s">
        <v>841</v>
      </c>
      <c r="G760" s="32"/>
      <c r="H760" s="32" t="str">
        <f>IF(LEFT('PL1(Full)'!$F760,4)="Thôn","Thôn","Tổ")</f>
        <v>Thôn</v>
      </c>
      <c r="I760" s="35">
        <v>20</v>
      </c>
      <c r="J760" s="35">
        <v>77</v>
      </c>
      <c r="K760" s="35">
        <v>20</v>
      </c>
      <c r="L760" s="37">
        <f t="shared" si="0"/>
        <v>100</v>
      </c>
      <c r="M760" s="35">
        <v>5</v>
      </c>
      <c r="N760" s="38">
        <f t="shared" si="1"/>
        <v>25</v>
      </c>
      <c r="O760" s="35">
        <v>5</v>
      </c>
      <c r="P760" s="38">
        <f t="shared" si="2"/>
        <v>100</v>
      </c>
      <c r="Q760" s="134" t="s">
        <v>63</v>
      </c>
      <c r="R760" s="134" t="str">
        <f t="shared" si="3"/>
        <v>X</v>
      </c>
      <c r="S760" s="135" t="s">
        <v>60</v>
      </c>
      <c r="T760" s="34" t="str">
        <f>IF('PL1(Full)'!$N760&gt;=20,"x",IF(AND('PL1(Full)'!$N760&gt;=15,'PL1(Full)'!$P760&gt;60),"x",""))</f>
        <v>x</v>
      </c>
      <c r="U760" s="34" t="str">
        <f>IF(AND('PL1(Full)'!$H760="Thôn",'PL1(Full)'!$I760&lt;75),"x",IF(AND('PL1(Full)'!$H760="Tổ",'PL1(Full)'!$I760&lt;100),"x","-"))</f>
        <v>x</v>
      </c>
      <c r="V760" s="34" t="str">
        <f>IF(AND('PL1(Full)'!$H760="Thôn",'PL1(Full)'!$I760&lt;140),"x",IF(AND('PL1(Full)'!$H760="Tổ",'PL1(Full)'!$I760&lt;210),"x","-"))</f>
        <v>x</v>
      </c>
      <c r="W760" s="40" t="str">
        <f t="shared" si="148"/>
        <v>Loại 3</v>
      </c>
      <c r="X760" s="32"/>
    </row>
    <row r="761" spans="1:24" ht="15.75" hidden="1" customHeight="1">
      <c r="A761" s="41">
        <f>_xlfn.AGGREGATE(4,7,A$6:A760)+1</f>
        <v>545</v>
      </c>
      <c r="B761" s="67" t="str">
        <f t="shared" si="147"/>
        <v>H. Na Rì</v>
      </c>
      <c r="C761" s="44" t="str">
        <f t="shared" si="151"/>
        <v>X. Cường Lợi</v>
      </c>
      <c r="D761" s="43"/>
      <c r="E761" s="43" t="s">
        <v>102</v>
      </c>
      <c r="F761" s="44" t="s">
        <v>842</v>
      </c>
      <c r="G761" s="43"/>
      <c r="H761" s="43" t="str">
        <f>IF(LEFT('PL1(Full)'!$F761,4)="Thôn","Thôn","Tổ")</f>
        <v>Thôn</v>
      </c>
      <c r="I761" s="45">
        <v>91</v>
      </c>
      <c r="J761" s="45">
        <v>379</v>
      </c>
      <c r="K761" s="45">
        <v>91</v>
      </c>
      <c r="L761" s="47">
        <f t="shared" si="0"/>
        <v>100</v>
      </c>
      <c r="M761" s="45">
        <v>6</v>
      </c>
      <c r="N761" s="48">
        <f t="shared" si="1"/>
        <v>6.5934065934065931</v>
      </c>
      <c r="O761" s="45">
        <v>6</v>
      </c>
      <c r="P761" s="48">
        <f t="shared" si="2"/>
        <v>100</v>
      </c>
      <c r="Q761" s="136" t="s">
        <v>150</v>
      </c>
      <c r="R761" s="136" t="str">
        <f t="shared" si="3"/>
        <v>X</v>
      </c>
      <c r="S761" s="137"/>
      <c r="T761" s="50" t="str">
        <f>IF('PL1(Full)'!$N761&gt;=20,"x",IF(AND('PL1(Full)'!$N761&gt;=15,'PL1(Full)'!$P761&gt;60),"x",""))</f>
        <v/>
      </c>
      <c r="U761" s="50" t="str">
        <f>IF(AND('PL1(Full)'!$H761="Thôn",'PL1(Full)'!$I761&lt;75),"x",IF(AND('PL1(Full)'!$H761="Tổ",'PL1(Full)'!$I761&lt;100),"x","-"))</f>
        <v>-</v>
      </c>
      <c r="V761" s="34" t="str">
        <f>IF(AND('PL1(Full)'!$H761="Thôn",'PL1(Full)'!$I761&lt;140),"x",IF(AND('PL1(Full)'!$H761="Tổ",'PL1(Full)'!$I761&lt;210),"x","-"))</f>
        <v>x</v>
      </c>
      <c r="W761" s="51" t="str">
        <f t="shared" si="148"/>
        <v>Loại 3</v>
      </c>
      <c r="X761" s="43"/>
    </row>
    <row r="762" spans="1:24" ht="15.75" customHeight="1">
      <c r="A762" s="52">
        <f>_xlfn.AGGREGATE(4,7,A$6:A761)+1</f>
        <v>545</v>
      </c>
      <c r="B762" s="65" t="str">
        <f t="shared" si="147"/>
        <v>H. Na Rì</v>
      </c>
      <c r="C762" s="14" t="s">
        <v>843</v>
      </c>
      <c r="D762" s="15" t="s">
        <v>58</v>
      </c>
      <c r="E762" s="16" t="s">
        <v>58</v>
      </c>
      <c r="F762" s="17" t="s">
        <v>844</v>
      </c>
      <c r="G762" s="18"/>
      <c r="H762" s="18" t="str">
        <f>IF(LEFT('PL1(Full)'!$F762,4)="Thôn","Thôn","Tổ")</f>
        <v>Thôn</v>
      </c>
      <c r="I762" s="19">
        <v>73</v>
      </c>
      <c r="J762" s="19">
        <v>309</v>
      </c>
      <c r="K762" s="19">
        <v>72</v>
      </c>
      <c r="L762" s="21">
        <f t="shared" si="0"/>
        <v>98.630136986301366</v>
      </c>
      <c r="M762" s="19">
        <v>12</v>
      </c>
      <c r="N762" s="22">
        <f t="shared" si="1"/>
        <v>16.438356164383563</v>
      </c>
      <c r="O762" s="19">
        <v>12</v>
      </c>
      <c r="P762" s="22">
        <f t="shared" si="2"/>
        <v>100</v>
      </c>
      <c r="Q762" s="132" t="s">
        <v>56</v>
      </c>
      <c r="R762" s="132" t="str">
        <f t="shared" si="3"/>
        <v>X</v>
      </c>
      <c r="S762" s="133"/>
      <c r="T762" s="26" t="str">
        <f>IF('PL1(Full)'!$N762&gt;=20,"x",IF(AND('PL1(Full)'!$N762&gt;=15,'PL1(Full)'!$P762&gt;60),"x",""))</f>
        <v>x</v>
      </c>
      <c r="U762" s="27" t="str">
        <f>IF(AND('PL1(Full)'!$H762="Thôn",'PL1(Full)'!$I762&lt;75),"x",IF(AND('PL1(Full)'!$H762="Tổ",'PL1(Full)'!$I762&lt;100),"x","-"))</f>
        <v>x</v>
      </c>
      <c r="V762" s="28" t="str">
        <f>IF(AND('PL1(Full)'!$H762="Thôn",'PL1(Full)'!$I762&lt;140),"x",IF(AND('PL1(Full)'!$H762="Tổ",'PL1(Full)'!$I762&lt;210),"x","-"))</f>
        <v>x</v>
      </c>
      <c r="W762" s="29" t="str">
        <f t="shared" si="148"/>
        <v>Loại 3</v>
      </c>
      <c r="X762" s="18"/>
    </row>
    <row r="763" spans="1:24" ht="15.75" hidden="1" customHeight="1">
      <c r="A763" s="30">
        <f>_xlfn.AGGREGATE(4,7,A$6:A762)+1</f>
        <v>546</v>
      </c>
      <c r="B763" s="66" t="str">
        <f t="shared" si="147"/>
        <v>H. Na Rì</v>
      </c>
      <c r="C763" s="33" t="str">
        <f t="shared" ref="C763:C774" si="152">C762</f>
        <v>X. Đổng Xá</v>
      </c>
      <c r="D763" s="32"/>
      <c r="E763" s="32" t="s">
        <v>58</v>
      </c>
      <c r="F763" s="33" t="s">
        <v>845</v>
      </c>
      <c r="G763" s="32"/>
      <c r="H763" s="32" t="str">
        <f>IF(LEFT('PL1(Full)'!$F763,4)="Thôn","Thôn","Tổ")</f>
        <v>Thôn</v>
      </c>
      <c r="I763" s="35">
        <v>80</v>
      </c>
      <c r="J763" s="35">
        <v>350</v>
      </c>
      <c r="K763" s="35">
        <v>79</v>
      </c>
      <c r="L763" s="37">
        <f t="shared" si="0"/>
        <v>98.75</v>
      </c>
      <c r="M763" s="35">
        <v>18</v>
      </c>
      <c r="N763" s="38">
        <f t="shared" si="1"/>
        <v>22.5</v>
      </c>
      <c r="O763" s="35">
        <v>17</v>
      </c>
      <c r="P763" s="38">
        <f t="shared" si="2"/>
        <v>94.444444444444443</v>
      </c>
      <c r="Q763" s="134" t="s">
        <v>56</v>
      </c>
      <c r="R763" s="134" t="str">
        <f t="shared" si="3"/>
        <v>X</v>
      </c>
      <c r="S763" s="135" t="s">
        <v>60</v>
      </c>
      <c r="T763" s="34" t="str">
        <f>IF('PL1(Full)'!$N763&gt;=20,"x",IF(AND('PL1(Full)'!$N763&gt;=15,'PL1(Full)'!$P763&gt;60),"x",""))</f>
        <v>x</v>
      </c>
      <c r="U763" s="34" t="str">
        <f>IF(AND('PL1(Full)'!$H763="Thôn",'PL1(Full)'!$I763&lt;75),"x",IF(AND('PL1(Full)'!$H763="Tổ",'PL1(Full)'!$I763&lt;100),"x","-"))</f>
        <v>-</v>
      </c>
      <c r="V763" s="34" t="str">
        <f>IF(AND('PL1(Full)'!$H763="Thôn",'PL1(Full)'!$I763&lt;140),"x",IF(AND('PL1(Full)'!$H763="Tổ",'PL1(Full)'!$I763&lt;210),"x","-"))</f>
        <v>x</v>
      </c>
      <c r="W763" s="40" t="str">
        <f t="shared" si="148"/>
        <v>Loại 3</v>
      </c>
      <c r="X763" s="32"/>
    </row>
    <row r="764" spans="1:24" ht="15.75" customHeight="1">
      <c r="A764" s="30">
        <f>_xlfn.AGGREGATE(4,7,A$6:A763)+1</f>
        <v>546</v>
      </c>
      <c r="B764" s="66" t="str">
        <f t="shared" si="147"/>
        <v>H. Na Rì</v>
      </c>
      <c r="C764" s="33" t="str">
        <f t="shared" si="152"/>
        <v>X. Đổng Xá</v>
      </c>
      <c r="D764" s="32"/>
      <c r="E764" s="32" t="s">
        <v>58</v>
      </c>
      <c r="F764" s="33" t="s">
        <v>846</v>
      </c>
      <c r="G764" s="32"/>
      <c r="H764" s="32" t="str">
        <f>IF(LEFT('PL1(Full)'!$F764,4)="Thôn","Thôn","Tổ")</f>
        <v>Thôn</v>
      </c>
      <c r="I764" s="35">
        <v>35</v>
      </c>
      <c r="J764" s="35">
        <v>136</v>
      </c>
      <c r="K764" s="35">
        <v>35</v>
      </c>
      <c r="L764" s="37">
        <f t="shared" si="0"/>
        <v>100</v>
      </c>
      <c r="M764" s="35">
        <v>13</v>
      </c>
      <c r="N764" s="38">
        <f t="shared" si="1"/>
        <v>37.142857142857146</v>
      </c>
      <c r="O764" s="35">
        <v>13</v>
      </c>
      <c r="P764" s="38">
        <f t="shared" si="2"/>
        <v>100</v>
      </c>
      <c r="Q764" s="140" t="s">
        <v>63</v>
      </c>
      <c r="R764" s="140" t="str">
        <f t="shared" si="3"/>
        <v>X</v>
      </c>
      <c r="S764" s="141" t="s">
        <v>60</v>
      </c>
      <c r="T764" s="34" t="str">
        <f>IF('PL1(Full)'!$N764&gt;=20,"x",IF(AND('PL1(Full)'!$N764&gt;=15,'PL1(Full)'!$P764&gt;60),"x",""))</f>
        <v>x</v>
      </c>
      <c r="U764" s="34" t="str">
        <f>IF(AND('PL1(Full)'!$H764="Thôn",'PL1(Full)'!$I764&lt;75),"x",IF(AND('PL1(Full)'!$H764="Tổ",'PL1(Full)'!$I764&lt;100),"x","-"))</f>
        <v>x</v>
      </c>
      <c r="V764" s="34" t="str">
        <f>IF(AND('PL1(Full)'!$H764="Thôn",'PL1(Full)'!$I764&lt;140),"x",IF(AND('PL1(Full)'!$H764="Tổ",'PL1(Full)'!$I764&lt;210),"x","-"))</f>
        <v>x</v>
      </c>
      <c r="W764" s="40" t="str">
        <f t="shared" si="148"/>
        <v>Loại 3</v>
      </c>
      <c r="X764" s="32"/>
    </row>
    <row r="765" spans="1:24" ht="15.75" customHeight="1">
      <c r="A765" s="30">
        <f>_xlfn.AGGREGATE(4,7,A$6:A764)+1</f>
        <v>547</v>
      </c>
      <c r="B765" s="66" t="str">
        <f t="shared" si="147"/>
        <v>H. Na Rì</v>
      </c>
      <c r="C765" s="33" t="str">
        <f t="shared" si="152"/>
        <v>X. Đổng Xá</v>
      </c>
      <c r="D765" s="32"/>
      <c r="E765" s="32" t="s">
        <v>58</v>
      </c>
      <c r="F765" s="33" t="s">
        <v>847</v>
      </c>
      <c r="G765" s="32"/>
      <c r="H765" s="32" t="str">
        <f>IF(LEFT('PL1(Full)'!$F765,4)="Thôn","Thôn","Tổ")</f>
        <v>Thôn</v>
      </c>
      <c r="I765" s="35">
        <v>42</v>
      </c>
      <c r="J765" s="35">
        <v>180</v>
      </c>
      <c r="K765" s="35">
        <v>42</v>
      </c>
      <c r="L765" s="37">
        <f t="shared" si="0"/>
        <v>100</v>
      </c>
      <c r="M765" s="35">
        <v>41</v>
      </c>
      <c r="N765" s="38">
        <f t="shared" si="1"/>
        <v>97.61904761904762</v>
      </c>
      <c r="O765" s="35">
        <v>41</v>
      </c>
      <c r="P765" s="38">
        <f t="shared" si="2"/>
        <v>100</v>
      </c>
      <c r="Q765" s="140" t="s">
        <v>63</v>
      </c>
      <c r="R765" s="140" t="str">
        <f t="shared" si="3"/>
        <v>X</v>
      </c>
      <c r="S765" s="141" t="s">
        <v>60</v>
      </c>
      <c r="T765" s="34" t="str">
        <f>IF('PL1(Full)'!$N765&gt;=20,"x",IF(AND('PL1(Full)'!$N765&gt;=15,'PL1(Full)'!$P765&gt;60),"x",""))</f>
        <v>x</v>
      </c>
      <c r="U765" s="34" t="str">
        <f>IF(AND('PL1(Full)'!$H765="Thôn",'PL1(Full)'!$I765&lt;75),"x",IF(AND('PL1(Full)'!$H765="Tổ",'PL1(Full)'!$I765&lt;100),"x","-"))</f>
        <v>x</v>
      </c>
      <c r="V765" s="34" t="str">
        <f>IF(AND('PL1(Full)'!$H765="Thôn",'PL1(Full)'!$I765&lt;140),"x",IF(AND('PL1(Full)'!$H765="Tổ",'PL1(Full)'!$I765&lt;210),"x","-"))</f>
        <v>x</v>
      </c>
      <c r="W765" s="40" t="str">
        <f t="shared" si="148"/>
        <v>Loại 3</v>
      </c>
      <c r="X765" s="32"/>
    </row>
    <row r="766" spans="1:24" ht="15.75" customHeight="1">
      <c r="A766" s="30">
        <f>_xlfn.AGGREGATE(4,7,A$6:A765)+1</f>
        <v>548</v>
      </c>
      <c r="B766" s="66" t="str">
        <f t="shared" si="147"/>
        <v>H. Na Rì</v>
      </c>
      <c r="C766" s="33" t="str">
        <f t="shared" si="152"/>
        <v>X. Đổng Xá</v>
      </c>
      <c r="D766" s="32"/>
      <c r="E766" s="32" t="s">
        <v>58</v>
      </c>
      <c r="F766" s="33" t="s">
        <v>848</v>
      </c>
      <c r="G766" s="32"/>
      <c r="H766" s="32" t="str">
        <f>IF(LEFT('PL1(Full)'!$F766,4)="Thôn","Thôn","Tổ")</f>
        <v>Thôn</v>
      </c>
      <c r="I766" s="35">
        <v>69</v>
      </c>
      <c r="J766" s="35">
        <v>315</v>
      </c>
      <c r="K766" s="35">
        <v>69</v>
      </c>
      <c r="L766" s="37">
        <f t="shared" si="0"/>
        <v>100</v>
      </c>
      <c r="M766" s="35">
        <v>64</v>
      </c>
      <c r="N766" s="38">
        <f t="shared" si="1"/>
        <v>92.753623188405797</v>
      </c>
      <c r="O766" s="35">
        <v>64</v>
      </c>
      <c r="P766" s="38">
        <f t="shared" si="2"/>
        <v>100</v>
      </c>
      <c r="Q766" s="140" t="s">
        <v>56</v>
      </c>
      <c r="R766" s="140" t="str">
        <f t="shared" si="3"/>
        <v>X</v>
      </c>
      <c r="S766" s="141" t="s">
        <v>60</v>
      </c>
      <c r="T766" s="34" t="str">
        <f>IF('PL1(Full)'!$N766&gt;=20,"x",IF(AND('PL1(Full)'!$N766&gt;=15,'PL1(Full)'!$P766&gt;60),"x",""))</f>
        <v>x</v>
      </c>
      <c r="U766" s="34" t="str">
        <f>IF(AND('PL1(Full)'!$H766="Thôn",'PL1(Full)'!$I766&lt;75),"x",IF(AND('PL1(Full)'!$H766="Tổ",'PL1(Full)'!$I766&lt;100),"x","-"))</f>
        <v>x</v>
      </c>
      <c r="V766" s="34" t="str">
        <f>IF(AND('PL1(Full)'!$H766="Thôn",'PL1(Full)'!$I766&lt;140),"x",IF(AND('PL1(Full)'!$H766="Tổ",'PL1(Full)'!$I766&lt;210),"x","-"))</f>
        <v>x</v>
      </c>
      <c r="W766" s="40" t="str">
        <f t="shared" si="148"/>
        <v>Loại 3</v>
      </c>
      <c r="X766" s="32"/>
    </row>
    <row r="767" spans="1:24" ht="15.75" customHeight="1">
      <c r="A767" s="30">
        <f>_xlfn.AGGREGATE(4,7,A$6:A766)+1</f>
        <v>549</v>
      </c>
      <c r="B767" s="66" t="str">
        <f t="shared" si="147"/>
        <v>H. Na Rì</v>
      </c>
      <c r="C767" s="33" t="str">
        <f t="shared" si="152"/>
        <v>X. Đổng Xá</v>
      </c>
      <c r="D767" s="32"/>
      <c r="E767" s="32" t="s">
        <v>58</v>
      </c>
      <c r="F767" s="33" t="s">
        <v>849</v>
      </c>
      <c r="G767" s="32"/>
      <c r="H767" s="32" t="str">
        <f>IF(LEFT('PL1(Full)'!$F767,4)="Thôn","Thôn","Tổ")</f>
        <v>Thôn</v>
      </c>
      <c r="I767" s="35">
        <v>17</v>
      </c>
      <c r="J767" s="35">
        <v>60</v>
      </c>
      <c r="K767" s="35">
        <v>17</v>
      </c>
      <c r="L767" s="37">
        <f t="shared" si="0"/>
        <v>100</v>
      </c>
      <c r="M767" s="35">
        <v>13</v>
      </c>
      <c r="N767" s="38">
        <f t="shared" si="1"/>
        <v>76.470588235294116</v>
      </c>
      <c r="O767" s="35">
        <v>13</v>
      </c>
      <c r="P767" s="38">
        <f t="shared" si="2"/>
        <v>100</v>
      </c>
      <c r="Q767" s="140" t="s">
        <v>52</v>
      </c>
      <c r="R767" s="140" t="str">
        <f t="shared" si="3"/>
        <v>C</v>
      </c>
      <c r="S767" s="141" t="s">
        <v>60</v>
      </c>
      <c r="T767" s="34" t="str">
        <f>IF('PL1(Full)'!$N767&gt;=20,"x",IF(AND('PL1(Full)'!$N767&gt;=15,'PL1(Full)'!$P767&gt;60),"x",""))</f>
        <v>x</v>
      </c>
      <c r="U767" s="34" t="str">
        <f>IF(AND('PL1(Full)'!$H767="Thôn",'PL1(Full)'!$I767&lt;75),"x",IF(AND('PL1(Full)'!$H767="Tổ",'PL1(Full)'!$I767&lt;100),"x","-"))</f>
        <v>x</v>
      </c>
      <c r="V767" s="34" t="str">
        <f>IF(AND('PL1(Full)'!$H767="Thôn",'PL1(Full)'!$I767&lt;140),"x",IF(AND('PL1(Full)'!$H767="Tổ",'PL1(Full)'!$I767&lt;210),"x","-"))</f>
        <v>x</v>
      </c>
      <c r="W767" s="40" t="str">
        <f t="shared" si="148"/>
        <v>Loại 3</v>
      </c>
      <c r="X767" s="32"/>
    </row>
    <row r="768" spans="1:24" ht="15.75" customHeight="1">
      <c r="A768" s="30">
        <f>_xlfn.AGGREGATE(4,7,A$6:A767)+1</f>
        <v>550</v>
      </c>
      <c r="B768" s="66" t="str">
        <f t="shared" si="147"/>
        <v>H. Na Rì</v>
      </c>
      <c r="C768" s="33" t="str">
        <f t="shared" si="152"/>
        <v>X. Đổng Xá</v>
      </c>
      <c r="D768" s="32"/>
      <c r="E768" s="32" t="s">
        <v>58</v>
      </c>
      <c r="F768" s="33" t="s">
        <v>850</v>
      </c>
      <c r="G768" s="32"/>
      <c r="H768" s="32" t="str">
        <f>IF(LEFT('PL1(Full)'!$F768,4)="Thôn","Thôn","Tổ")</f>
        <v>Thôn</v>
      </c>
      <c r="I768" s="35">
        <v>26</v>
      </c>
      <c r="J768" s="35">
        <v>97</v>
      </c>
      <c r="K768" s="35">
        <v>26</v>
      </c>
      <c r="L768" s="37">
        <f t="shared" si="0"/>
        <v>100</v>
      </c>
      <c r="M768" s="35">
        <v>18</v>
      </c>
      <c r="N768" s="38">
        <f t="shared" si="1"/>
        <v>69.230769230769226</v>
      </c>
      <c r="O768" s="35">
        <v>18</v>
      </c>
      <c r="P768" s="38">
        <f t="shared" si="2"/>
        <v>100</v>
      </c>
      <c r="Q768" s="140" t="s">
        <v>63</v>
      </c>
      <c r="R768" s="140" t="str">
        <f t="shared" si="3"/>
        <v>X</v>
      </c>
      <c r="S768" s="141" t="s">
        <v>60</v>
      </c>
      <c r="T768" s="34" t="str">
        <f>IF('PL1(Full)'!$N768&gt;=20,"x",IF(AND('PL1(Full)'!$N768&gt;=15,'PL1(Full)'!$P768&gt;60),"x",""))</f>
        <v>x</v>
      </c>
      <c r="U768" s="34" t="str">
        <f>IF(AND('PL1(Full)'!$H768="Thôn",'PL1(Full)'!$I768&lt;75),"x",IF(AND('PL1(Full)'!$H768="Tổ",'PL1(Full)'!$I768&lt;100),"x","-"))</f>
        <v>x</v>
      </c>
      <c r="V768" s="34" t="str">
        <f>IF(AND('PL1(Full)'!$H768="Thôn",'PL1(Full)'!$I768&lt;140),"x",IF(AND('PL1(Full)'!$H768="Tổ",'PL1(Full)'!$I768&lt;210),"x","-"))</f>
        <v>x</v>
      </c>
      <c r="W768" s="40" t="str">
        <f t="shared" si="148"/>
        <v>Loại 3</v>
      </c>
      <c r="X768" s="32"/>
    </row>
    <row r="769" spans="1:24" ht="15.75" customHeight="1">
      <c r="A769" s="30">
        <f>_xlfn.AGGREGATE(4,7,A$6:A768)+1</f>
        <v>551</v>
      </c>
      <c r="B769" s="66" t="str">
        <f t="shared" si="147"/>
        <v>H. Na Rì</v>
      </c>
      <c r="C769" s="33" t="str">
        <f t="shared" si="152"/>
        <v>X. Đổng Xá</v>
      </c>
      <c r="D769" s="32"/>
      <c r="E769" s="32" t="s">
        <v>58</v>
      </c>
      <c r="F769" s="33" t="s">
        <v>119</v>
      </c>
      <c r="G769" s="32"/>
      <c r="H769" s="32" t="str">
        <f>IF(LEFT('PL1(Full)'!$F769,4)="Thôn","Thôn","Tổ")</f>
        <v>Thôn</v>
      </c>
      <c r="I769" s="35">
        <v>46</v>
      </c>
      <c r="J769" s="35">
        <v>210</v>
      </c>
      <c r="K769" s="35">
        <v>46</v>
      </c>
      <c r="L769" s="37">
        <f t="shared" si="0"/>
        <v>100</v>
      </c>
      <c r="M769" s="35">
        <v>9</v>
      </c>
      <c r="N769" s="38">
        <f t="shared" si="1"/>
        <v>19.565217391304348</v>
      </c>
      <c r="O769" s="35">
        <v>9</v>
      </c>
      <c r="P769" s="38">
        <f t="shared" si="2"/>
        <v>100</v>
      </c>
      <c r="Q769" s="140" t="s">
        <v>63</v>
      </c>
      <c r="R769" s="140" t="str">
        <f t="shared" si="3"/>
        <v>X</v>
      </c>
      <c r="S769" s="141" t="s">
        <v>60</v>
      </c>
      <c r="T769" s="34" t="str">
        <f>IF('PL1(Full)'!$N769&gt;=20,"x",IF(AND('PL1(Full)'!$N769&gt;=15,'PL1(Full)'!$P769&gt;60),"x",""))</f>
        <v>x</v>
      </c>
      <c r="U769" s="34" t="str">
        <f>IF(AND('PL1(Full)'!$H769="Thôn",'PL1(Full)'!$I769&lt;75),"x",IF(AND('PL1(Full)'!$H769="Tổ",'PL1(Full)'!$I769&lt;100),"x","-"))</f>
        <v>x</v>
      </c>
      <c r="V769" s="34" t="str">
        <f>IF(AND('PL1(Full)'!$H769="Thôn",'PL1(Full)'!$I769&lt;140),"x",IF(AND('PL1(Full)'!$H769="Tổ",'PL1(Full)'!$I769&lt;210),"x","-"))</f>
        <v>x</v>
      </c>
      <c r="W769" s="40" t="str">
        <f t="shared" si="148"/>
        <v>Loại 3</v>
      </c>
      <c r="X769" s="32"/>
    </row>
    <row r="770" spans="1:24" ht="15.75" customHeight="1">
      <c r="A770" s="30">
        <f>_xlfn.AGGREGATE(4,7,A$6:A769)+1</f>
        <v>552</v>
      </c>
      <c r="B770" s="66" t="str">
        <f t="shared" si="147"/>
        <v>H. Na Rì</v>
      </c>
      <c r="C770" s="33" t="str">
        <f t="shared" si="152"/>
        <v>X. Đổng Xá</v>
      </c>
      <c r="D770" s="32"/>
      <c r="E770" s="32" t="s">
        <v>58</v>
      </c>
      <c r="F770" s="33" t="s">
        <v>851</v>
      </c>
      <c r="G770" s="32"/>
      <c r="H770" s="32" t="str">
        <f>IF(LEFT('PL1(Full)'!$F770,4)="Thôn","Thôn","Tổ")</f>
        <v>Thôn</v>
      </c>
      <c r="I770" s="35">
        <v>51</v>
      </c>
      <c r="J770" s="35">
        <v>241</v>
      </c>
      <c r="K770" s="35">
        <v>51</v>
      </c>
      <c r="L770" s="37">
        <f t="shared" si="0"/>
        <v>100</v>
      </c>
      <c r="M770" s="35">
        <v>21</v>
      </c>
      <c r="N770" s="38">
        <f t="shared" si="1"/>
        <v>41.176470588235297</v>
      </c>
      <c r="O770" s="35">
        <v>21</v>
      </c>
      <c r="P770" s="38">
        <f t="shared" si="2"/>
        <v>100</v>
      </c>
      <c r="Q770" s="134" t="s">
        <v>63</v>
      </c>
      <c r="R770" s="134" t="str">
        <f t="shared" si="3"/>
        <v>X</v>
      </c>
      <c r="S770" s="135" t="s">
        <v>60</v>
      </c>
      <c r="T770" s="34" t="str">
        <f>IF('PL1(Full)'!$N770&gt;=20,"x",IF(AND('PL1(Full)'!$N770&gt;=15,'PL1(Full)'!$P770&gt;60),"x",""))</f>
        <v>x</v>
      </c>
      <c r="U770" s="34" t="str">
        <f>IF(AND('PL1(Full)'!$H770="Thôn",'PL1(Full)'!$I770&lt;75),"x",IF(AND('PL1(Full)'!$H770="Tổ",'PL1(Full)'!$I770&lt;100),"x","-"))</f>
        <v>x</v>
      </c>
      <c r="V770" s="34" t="str">
        <f>IF(AND('PL1(Full)'!$H770="Thôn",'PL1(Full)'!$I770&lt;140),"x",IF(AND('PL1(Full)'!$H770="Tổ",'PL1(Full)'!$I770&lt;210),"x","-"))</f>
        <v>x</v>
      </c>
      <c r="W770" s="40" t="str">
        <f t="shared" si="148"/>
        <v>Loại 3</v>
      </c>
      <c r="X770" s="32"/>
    </row>
    <row r="771" spans="1:24" ht="15.75" customHeight="1">
      <c r="A771" s="30">
        <f>_xlfn.AGGREGATE(4,7,A$6:A770)+1</f>
        <v>553</v>
      </c>
      <c r="B771" s="66" t="str">
        <f t="shared" si="147"/>
        <v>H. Na Rì</v>
      </c>
      <c r="C771" s="33" t="str">
        <f t="shared" si="152"/>
        <v>X. Đổng Xá</v>
      </c>
      <c r="D771" s="32"/>
      <c r="E771" s="32" t="s">
        <v>58</v>
      </c>
      <c r="F771" s="33" t="s">
        <v>852</v>
      </c>
      <c r="G771" s="32"/>
      <c r="H771" s="32" t="str">
        <f>IF(LEFT('PL1(Full)'!$F771,4)="Thôn","Thôn","Tổ")</f>
        <v>Thôn</v>
      </c>
      <c r="I771" s="35">
        <v>54</v>
      </c>
      <c r="J771" s="35">
        <v>244</v>
      </c>
      <c r="K771" s="35">
        <v>53</v>
      </c>
      <c r="L771" s="37">
        <f t="shared" si="0"/>
        <v>98.148148148148152</v>
      </c>
      <c r="M771" s="35">
        <v>14</v>
      </c>
      <c r="N771" s="38">
        <f t="shared" si="1"/>
        <v>25.925925925925927</v>
      </c>
      <c r="O771" s="35">
        <v>13</v>
      </c>
      <c r="P771" s="38">
        <f t="shared" si="2"/>
        <v>92.857142857142861</v>
      </c>
      <c r="Q771" s="134" t="s">
        <v>63</v>
      </c>
      <c r="R771" s="134" t="str">
        <f t="shared" si="3"/>
        <v>X</v>
      </c>
      <c r="S771" s="135"/>
      <c r="T771" s="34" t="str">
        <f>IF('PL1(Full)'!$N771&gt;=20,"x",IF(AND('PL1(Full)'!$N771&gt;=15,'PL1(Full)'!$P771&gt;60),"x",""))</f>
        <v>x</v>
      </c>
      <c r="U771" s="34" t="str">
        <f>IF(AND('PL1(Full)'!$H771="Thôn",'PL1(Full)'!$I771&lt;75),"x",IF(AND('PL1(Full)'!$H771="Tổ",'PL1(Full)'!$I771&lt;100),"x","-"))</f>
        <v>x</v>
      </c>
      <c r="V771" s="34" t="str">
        <f>IF(AND('PL1(Full)'!$H771="Thôn",'PL1(Full)'!$I771&lt;140),"x",IF(AND('PL1(Full)'!$H771="Tổ",'PL1(Full)'!$I771&lt;210),"x","-"))</f>
        <v>x</v>
      </c>
      <c r="W771" s="40" t="str">
        <f t="shared" si="148"/>
        <v>Loại 3</v>
      </c>
      <c r="X771" s="32"/>
    </row>
    <row r="772" spans="1:24" ht="15.75" hidden="1" customHeight="1">
      <c r="A772" s="30">
        <f>_xlfn.AGGREGATE(4,7,A$6:A771)+1</f>
        <v>554</v>
      </c>
      <c r="B772" s="66" t="str">
        <f t="shared" si="147"/>
        <v>H. Na Rì</v>
      </c>
      <c r="C772" s="33" t="str">
        <f t="shared" si="152"/>
        <v>X. Đổng Xá</v>
      </c>
      <c r="D772" s="32"/>
      <c r="E772" s="32" t="s">
        <v>58</v>
      </c>
      <c r="F772" s="33" t="s">
        <v>853</v>
      </c>
      <c r="G772" s="32"/>
      <c r="H772" s="32" t="str">
        <f>IF(LEFT('PL1(Full)'!$F772,4)="Thôn","Thôn","Tổ")</f>
        <v>Thôn</v>
      </c>
      <c r="I772" s="35">
        <v>115</v>
      </c>
      <c r="J772" s="35">
        <v>467</v>
      </c>
      <c r="K772" s="35">
        <v>115</v>
      </c>
      <c r="L772" s="37">
        <f t="shared" si="0"/>
        <v>100</v>
      </c>
      <c r="M772" s="35">
        <v>64</v>
      </c>
      <c r="N772" s="38">
        <f t="shared" si="1"/>
        <v>55.652173913043477</v>
      </c>
      <c r="O772" s="35">
        <v>64</v>
      </c>
      <c r="P772" s="38">
        <f t="shared" si="2"/>
        <v>100</v>
      </c>
      <c r="Q772" s="134" t="s">
        <v>49</v>
      </c>
      <c r="R772" s="134" t="str">
        <f t="shared" si="3"/>
        <v>X</v>
      </c>
      <c r="S772" s="135" t="s">
        <v>60</v>
      </c>
      <c r="T772" s="34" t="str">
        <f>IF('PL1(Full)'!$N772&gt;=20,"x",IF(AND('PL1(Full)'!$N772&gt;=15,'PL1(Full)'!$P772&gt;60),"x",""))</f>
        <v>x</v>
      </c>
      <c r="U772" s="34" t="str">
        <f>IF(AND('PL1(Full)'!$H772="Thôn",'PL1(Full)'!$I772&lt;75),"x",IF(AND('PL1(Full)'!$H772="Tổ",'PL1(Full)'!$I772&lt;100),"x","-"))</f>
        <v>-</v>
      </c>
      <c r="V772" s="34" t="str">
        <f>IF(AND('PL1(Full)'!$H772="Thôn",'PL1(Full)'!$I772&lt;140),"x",IF(AND('PL1(Full)'!$H772="Tổ",'PL1(Full)'!$I772&lt;210),"x","-"))</f>
        <v>x</v>
      </c>
      <c r="W772" s="40" t="str">
        <f t="shared" si="148"/>
        <v>Loại 2</v>
      </c>
      <c r="X772" s="32"/>
    </row>
    <row r="773" spans="1:24" ht="15.75" customHeight="1">
      <c r="A773" s="30">
        <f>_xlfn.AGGREGATE(4,7,A$6:A772)+1</f>
        <v>554</v>
      </c>
      <c r="B773" s="66" t="str">
        <f t="shared" si="147"/>
        <v>H. Na Rì</v>
      </c>
      <c r="C773" s="33" t="str">
        <f t="shared" si="152"/>
        <v>X. Đổng Xá</v>
      </c>
      <c r="D773" s="32"/>
      <c r="E773" s="32" t="s">
        <v>58</v>
      </c>
      <c r="F773" s="33" t="s">
        <v>854</v>
      </c>
      <c r="G773" s="32"/>
      <c r="H773" s="32" t="str">
        <f>IF(LEFT('PL1(Full)'!$F773,4)="Thôn","Thôn","Tổ")</f>
        <v>Thôn</v>
      </c>
      <c r="I773" s="35">
        <v>35</v>
      </c>
      <c r="J773" s="35">
        <v>163</v>
      </c>
      <c r="K773" s="35">
        <v>35</v>
      </c>
      <c r="L773" s="37">
        <f t="shared" si="0"/>
        <v>100</v>
      </c>
      <c r="M773" s="35">
        <v>18</v>
      </c>
      <c r="N773" s="38">
        <f t="shared" si="1"/>
        <v>51.428571428571431</v>
      </c>
      <c r="O773" s="35">
        <v>18</v>
      </c>
      <c r="P773" s="38">
        <f t="shared" si="2"/>
        <v>100</v>
      </c>
      <c r="Q773" s="134" t="s">
        <v>63</v>
      </c>
      <c r="R773" s="134" t="str">
        <f t="shared" si="3"/>
        <v>X</v>
      </c>
      <c r="S773" s="135" t="s">
        <v>60</v>
      </c>
      <c r="T773" s="34" t="str">
        <f>IF('PL1(Full)'!$N773&gt;=20,"x",IF(AND('PL1(Full)'!$N773&gt;=15,'PL1(Full)'!$P773&gt;60),"x",""))</f>
        <v>x</v>
      </c>
      <c r="U773" s="34" t="str">
        <f>IF(AND('PL1(Full)'!$H773="Thôn",'PL1(Full)'!$I773&lt;75),"x",IF(AND('PL1(Full)'!$H773="Tổ",'PL1(Full)'!$I773&lt;100),"x","-"))</f>
        <v>x</v>
      </c>
      <c r="V773" s="34" t="str">
        <f>IF(AND('PL1(Full)'!$H773="Thôn",'PL1(Full)'!$I773&lt;140),"x",IF(AND('PL1(Full)'!$H773="Tổ",'PL1(Full)'!$I773&lt;210),"x","-"))</f>
        <v>x</v>
      </c>
      <c r="W773" s="40" t="str">
        <f t="shared" si="148"/>
        <v>Loại 3</v>
      </c>
      <c r="X773" s="32"/>
    </row>
    <row r="774" spans="1:24" ht="15.75" customHeight="1">
      <c r="A774" s="41">
        <f>_xlfn.AGGREGATE(4,7,A$6:A773)+1</f>
        <v>555</v>
      </c>
      <c r="B774" s="67" t="str">
        <f t="shared" si="147"/>
        <v>H. Na Rì</v>
      </c>
      <c r="C774" s="44" t="str">
        <f t="shared" si="152"/>
        <v>X. Đổng Xá</v>
      </c>
      <c r="D774" s="43"/>
      <c r="E774" s="43" t="s">
        <v>58</v>
      </c>
      <c r="F774" s="44" t="s">
        <v>855</v>
      </c>
      <c r="G774" s="43"/>
      <c r="H774" s="43" t="str">
        <f>IF(LEFT('PL1(Full)'!$F774,4)="Thôn","Thôn","Tổ")</f>
        <v>Thôn</v>
      </c>
      <c r="I774" s="45">
        <v>34</v>
      </c>
      <c r="J774" s="45">
        <v>158</v>
      </c>
      <c r="K774" s="45">
        <v>34</v>
      </c>
      <c r="L774" s="47">
        <f t="shared" si="0"/>
        <v>100</v>
      </c>
      <c r="M774" s="45">
        <v>11</v>
      </c>
      <c r="N774" s="48">
        <f t="shared" si="1"/>
        <v>32.352941176470587</v>
      </c>
      <c r="O774" s="45">
        <v>11</v>
      </c>
      <c r="P774" s="48">
        <f t="shared" si="2"/>
        <v>100</v>
      </c>
      <c r="Q774" s="136" t="s">
        <v>56</v>
      </c>
      <c r="R774" s="136" t="str">
        <f t="shared" si="3"/>
        <v>X</v>
      </c>
      <c r="S774" s="137"/>
      <c r="T774" s="50" t="str">
        <f>IF('PL1(Full)'!$N774&gt;=20,"x",IF(AND('PL1(Full)'!$N774&gt;=15,'PL1(Full)'!$P774&gt;60),"x",""))</f>
        <v>x</v>
      </c>
      <c r="U774" s="50" t="str">
        <f>IF(AND('PL1(Full)'!$H774="Thôn",'PL1(Full)'!$I774&lt;75),"x",IF(AND('PL1(Full)'!$H774="Tổ",'PL1(Full)'!$I774&lt;100),"x","-"))</f>
        <v>x</v>
      </c>
      <c r="V774" s="34" t="str">
        <f>IF(AND('PL1(Full)'!$H774="Thôn",'PL1(Full)'!$I774&lt;140),"x",IF(AND('PL1(Full)'!$H774="Tổ",'PL1(Full)'!$I774&lt;210),"x","-"))</f>
        <v>x</v>
      </c>
      <c r="W774" s="51" t="str">
        <f t="shared" si="148"/>
        <v>Loại 3</v>
      </c>
      <c r="X774" s="43"/>
    </row>
    <row r="775" spans="1:24" ht="15.75" customHeight="1">
      <c r="A775" s="52">
        <f>_xlfn.AGGREGATE(4,7,A$6:A774)+1</f>
        <v>556</v>
      </c>
      <c r="B775" s="65" t="str">
        <f t="shared" si="147"/>
        <v>H. Na Rì</v>
      </c>
      <c r="C775" s="14" t="s">
        <v>856</v>
      </c>
      <c r="D775" s="15" t="s">
        <v>58</v>
      </c>
      <c r="E775" s="16" t="s">
        <v>58</v>
      </c>
      <c r="F775" s="17" t="s">
        <v>857</v>
      </c>
      <c r="G775" s="18"/>
      <c r="H775" s="18" t="str">
        <f>IF(LEFT('PL1(Full)'!$F775,4)="Thôn","Thôn","Tổ")</f>
        <v>Thôn</v>
      </c>
      <c r="I775" s="19">
        <v>21</v>
      </c>
      <c r="J775" s="19">
        <v>87</v>
      </c>
      <c r="K775" s="19">
        <v>21</v>
      </c>
      <c r="L775" s="21">
        <f t="shared" si="0"/>
        <v>100</v>
      </c>
      <c r="M775" s="19">
        <v>11</v>
      </c>
      <c r="N775" s="22">
        <f t="shared" si="1"/>
        <v>52.38095238095238</v>
      </c>
      <c r="O775" s="19">
        <v>11</v>
      </c>
      <c r="P775" s="22">
        <f t="shared" si="2"/>
        <v>100</v>
      </c>
      <c r="Q775" s="132" t="s">
        <v>858</v>
      </c>
      <c r="R775" s="132" t="str">
        <f t="shared" si="3"/>
        <v>X</v>
      </c>
      <c r="S775" s="133" t="s">
        <v>60</v>
      </c>
      <c r="T775" s="26" t="str">
        <f>IF('PL1(Full)'!$N775&gt;=20,"x",IF(AND('PL1(Full)'!$N775&gt;=15,'PL1(Full)'!$P775&gt;60),"x",""))</f>
        <v>x</v>
      </c>
      <c r="U775" s="27" t="str">
        <f>IF(AND('PL1(Full)'!$H775="Thôn",'PL1(Full)'!$I775&lt;75),"x",IF(AND('PL1(Full)'!$H775="Tổ",'PL1(Full)'!$I775&lt;100),"x","-"))</f>
        <v>x</v>
      </c>
      <c r="V775" s="28" t="str">
        <f>IF(AND('PL1(Full)'!$H775="Thôn",'PL1(Full)'!$I775&lt;140),"x",IF(AND('PL1(Full)'!$H775="Tổ",'PL1(Full)'!$I775&lt;210),"x","-"))</f>
        <v>x</v>
      </c>
      <c r="W775" s="29" t="str">
        <f t="shared" si="148"/>
        <v>Loại 3</v>
      </c>
      <c r="X775" s="18"/>
    </row>
    <row r="776" spans="1:24" ht="15.75" customHeight="1">
      <c r="A776" s="30">
        <f>_xlfn.AGGREGATE(4,7,A$6:A775)+1</f>
        <v>557</v>
      </c>
      <c r="B776" s="66" t="str">
        <f t="shared" si="147"/>
        <v>H. Na Rì</v>
      </c>
      <c r="C776" s="33" t="str">
        <f t="shared" ref="C776:C787" si="153">C775</f>
        <v>X. Dương Sơn</v>
      </c>
      <c r="D776" s="32"/>
      <c r="E776" s="32" t="s">
        <v>58</v>
      </c>
      <c r="F776" s="33" t="s">
        <v>859</v>
      </c>
      <c r="G776" s="32"/>
      <c r="H776" s="32" t="str">
        <f>IF(LEFT('PL1(Full)'!$F776,4)="Thôn","Thôn","Tổ")</f>
        <v>Thôn</v>
      </c>
      <c r="I776" s="35">
        <v>47</v>
      </c>
      <c r="J776" s="35">
        <v>219</v>
      </c>
      <c r="K776" s="35">
        <v>44</v>
      </c>
      <c r="L776" s="37">
        <f t="shared" si="0"/>
        <v>93.61702127659575</v>
      </c>
      <c r="M776" s="35">
        <v>24</v>
      </c>
      <c r="N776" s="38">
        <f t="shared" si="1"/>
        <v>51.063829787234042</v>
      </c>
      <c r="O776" s="35">
        <v>23</v>
      </c>
      <c r="P776" s="38">
        <f t="shared" si="2"/>
        <v>95.833333333333329</v>
      </c>
      <c r="Q776" s="134" t="s">
        <v>224</v>
      </c>
      <c r="R776" s="134" t="str">
        <f t="shared" si="3"/>
        <v>X</v>
      </c>
      <c r="S776" s="135" t="s">
        <v>60</v>
      </c>
      <c r="T776" s="34" t="str">
        <f>IF('PL1(Full)'!$N776&gt;=20,"x",IF(AND('PL1(Full)'!$N776&gt;=15,'PL1(Full)'!$P776&gt;60),"x",""))</f>
        <v>x</v>
      </c>
      <c r="U776" s="34" t="str">
        <f>IF(AND('PL1(Full)'!$H776="Thôn",'PL1(Full)'!$I776&lt;75),"x",IF(AND('PL1(Full)'!$H776="Tổ",'PL1(Full)'!$I776&lt;100),"x","-"))</f>
        <v>x</v>
      </c>
      <c r="V776" s="34" t="str">
        <f>IF(AND('PL1(Full)'!$H776="Thôn",'PL1(Full)'!$I776&lt;140),"x",IF(AND('PL1(Full)'!$H776="Tổ",'PL1(Full)'!$I776&lt;210),"x","-"))</f>
        <v>x</v>
      </c>
      <c r="W776" s="40" t="str">
        <f t="shared" si="148"/>
        <v>Loại 3</v>
      </c>
      <c r="X776" s="32"/>
    </row>
    <row r="777" spans="1:24" ht="15.75" customHeight="1">
      <c r="A777" s="30">
        <f>_xlfn.AGGREGATE(4,7,A$6:A776)+1</f>
        <v>558</v>
      </c>
      <c r="B777" s="66" t="str">
        <f t="shared" si="147"/>
        <v>H. Na Rì</v>
      </c>
      <c r="C777" s="33" t="str">
        <f t="shared" si="153"/>
        <v>X. Dương Sơn</v>
      </c>
      <c r="D777" s="32"/>
      <c r="E777" s="32" t="s">
        <v>58</v>
      </c>
      <c r="F777" s="33" t="s">
        <v>860</v>
      </c>
      <c r="G777" s="32"/>
      <c r="H777" s="32" t="str">
        <f>IF(LEFT('PL1(Full)'!$F777,4)="Thôn","Thôn","Tổ")</f>
        <v>Thôn</v>
      </c>
      <c r="I777" s="35">
        <v>42</v>
      </c>
      <c r="J777" s="35">
        <v>178</v>
      </c>
      <c r="K777" s="35">
        <v>37</v>
      </c>
      <c r="L777" s="37">
        <f t="shared" si="0"/>
        <v>88.095238095238102</v>
      </c>
      <c r="M777" s="35">
        <v>21</v>
      </c>
      <c r="N777" s="38">
        <f t="shared" si="1"/>
        <v>50</v>
      </c>
      <c r="O777" s="35">
        <v>19</v>
      </c>
      <c r="P777" s="38">
        <f t="shared" si="2"/>
        <v>90.476190476190482</v>
      </c>
      <c r="Q777" s="134" t="s">
        <v>220</v>
      </c>
      <c r="R777" s="134" t="str">
        <f t="shared" si="3"/>
        <v>X</v>
      </c>
      <c r="S777" s="135" t="s">
        <v>60</v>
      </c>
      <c r="T777" s="34" t="str">
        <f>IF('PL1(Full)'!$N777&gt;=20,"x",IF(AND('PL1(Full)'!$N777&gt;=15,'PL1(Full)'!$P777&gt;60),"x",""))</f>
        <v>x</v>
      </c>
      <c r="U777" s="34" t="str">
        <f>IF(AND('PL1(Full)'!$H777="Thôn",'PL1(Full)'!$I777&lt;75),"x",IF(AND('PL1(Full)'!$H777="Tổ",'PL1(Full)'!$I777&lt;100),"x","-"))</f>
        <v>x</v>
      </c>
      <c r="V777" s="34" t="str">
        <f>IF(AND('PL1(Full)'!$H777="Thôn",'PL1(Full)'!$I777&lt;140),"x",IF(AND('PL1(Full)'!$H777="Tổ",'PL1(Full)'!$I777&lt;210),"x","-"))</f>
        <v>x</v>
      </c>
      <c r="W777" s="40" t="str">
        <f t="shared" si="148"/>
        <v>Loại 3</v>
      </c>
      <c r="X777" s="32"/>
    </row>
    <row r="778" spans="1:24" ht="15.75" customHeight="1">
      <c r="A778" s="30">
        <f>_xlfn.AGGREGATE(4,7,A$6:A777)+1</f>
        <v>559</v>
      </c>
      <c r="B778" s="66" t="str">
        <f t="shared" si="147"/>
        <v>H. Na Rì</v>
      </c>
      <c r="C778" s="33" t="str">
        <f t="shared" si="153"/>
        <v>X. Dương Sơn</v>
      </c>
      <c r="D778" s="32"/>
      <c r="E778" s="32" t="s">
        <v>58</v>
      </c>
      <c r="F778" s="33" t="s">
        <v>861</v>
      </c>
      <c r="G778" s="32"/>
      <c r="H778" s="32" t="str">
        <f>IF(LEFT('PL1(Full)'!$F778,4)="Thôn","Thôn","Tổ")</f>
        <v>Thôn</v>
      </c>
      <c r="I778" s="35">
        <v>29</v>
      </c>
      <c r="J778" s="35">
        <v>212</v>
      </c>
      <c r="K778" s="35">
        <v>29</v>
      </c>
      <c r="L778" s="37">
        <f t="shared" si="0"/>
        <v>100</v>
      </c>
      <c r="M778" s="35">
        <v>15</v>
      </c>
      <c r="N778" s="38">
        <f t="shared" si="1"/>
        <v>51.724137931034484</v>
      </c>
      <c r="O778" s="35">
        <v>15</v>
      </c>
      <c r="P778" s="38">
        <f t="shared" si="2"/>
        <v>100</v>
      </c>
      <c r="Q778" s="134" t="s">
        <v>224</v>
      </c>
      <c r="R778" s="134" t="str">
        <f t="shared" si="3"/>
        <v>X</v>
      </c>
      <c r="S778" s="135" t="s">
        <v>60</v>
      </c>
      <c r="T778" s="34" t="str">
        <f>IF('PL1(Full)'!$N778&gt;=20,"x",IF(AND('PL1(Full)'!$N778&gt;=15,'PL1(Full)'!$P778&gt;60),"x",""))</f>
        <v>x</v>
      </c>
      <c r="U778" s="34" t="str">
        <f>IF(AND('PL1(Full)'!$H778="Thôn",'PL1(Full)'!$I778&lt;75),"x",IF(AND('PL1(Full)'!$H778="Tổ",'PL1(Full)'!$I778&lt;100),"x","-"))</f>
        <v>x</v>
      </c>
      <c r="V778" s="34" t="str">
        <f>IF(AND('PL1(Full)'!$H778="Thôn",'PL1(Full)'!$I778&lt;140),"x",IF(AND('PL1(Full)'!$H778="Tổ",'PL1(Full)'!$I778&lt;210),"x","-"))</f>
        <v>x</v>
      </c>
      <c r="W778" s="40" t="str">
        <f t="shared" si="148"/>
        <v>Loại 3</v>
      </c>
      <c r="X778" s="32"/>
    </row>
    <row r="779" spans="1:24" ht="15.75" customHeight="1">
      <c r="A779" s="30">
        <f>_xlfn.AGGREGATE(4,7,A$6:A778)+1</f>
        <v>560</v>
      </c>
      <c r="B779" s="66" t="str">
        <f t="shared" si="147"/>
        <v>H. Na Rì</v>
      </c>
      <c r="C779" s="33" t="str">
        <f t="shared" si="153"/>
        <v>X. Dương Sơn</v>
      </c>
      <c r="D779" s="32"/>
      <c r="E779" s="32" t="s">
        <v>58</v>
      </c>
      <c r="F779" s="33" t="s">
        <v>119</v>
      </c>
      <c r="G779" s="32"/>
      <c r="H779" s="32" t="str">
        <f>IF(LEFT('PL1(Full)'!$F779,4)="Thôn","Thôn","Tổ")</f>
        <v>Thôn</v>
      </c>
      <c r="I779" s="35">
        <v>49</v>
      </c>
      <c r="J779" s="35">
        <v>223</v>
      </c>
      <c r="K779" s="35">
        <v>49</v>
      </c>
      <c r="L779" s="37">
        <f t="shared" si="0"/>
        <v>100</v>
      </c>
      <c r="M779" s="35">
        <v>29</v>
      </c>
      <c r="N779" s="38">
        <f t="shared" si="1"/>
        <v>59.183673469387756</v>
      </c>
      <c r="O779" s="35">
        <v>29</v>
      </c>
      <c r="P779" s="38">
        <f t="shared" si="2"/>
        <v>100</v>
      </c>
      <c r="Q779" s="134" t="s">
        <v>220</v>
      </c>
      <c r="R779" s="134" t="str">
        <f t="shared" si="3"/>
        <v>X</v>
      </c>
      <c r="S779" s="135" t="s">
        <v>60</v>
      </c>
      <c r="T779" s="34" t="str">
        <f>IF('PL1(Full)'!$N779&gt;=20,"x",IF(AND('PL1(Full)'!$N779&gt;=15,'PL1(Full)'!$P779&gt;60),"x",""))</f>
        <v>x</v>
      </c>
      <c r="U779" s="34" t="str">
        <f>IF(AND('PL1(Full)'!$H779="Thôn",'PL1(Full)'!$I779&lt;75),"x",IF(AND('PL1(Full)'!$H779="Tổ",'PL1(Full)'!$I779&lt;100),"x","-"))</f>
        <v>x</v>
      </c>
      <c r="V779" s="34" t="str">
        <f>IF(AND('PL1(Full)'!$H779="Thôn",'PL1(Full)'!$I779&lt;140),"x",IF(AND('PL1(Full)'!$H779="Tổ",'PL1(Full)'!$I779&lt;210),"x","-"))</f>
        <v>x</v>
      </c>
      <c r="W779" s="40" t="str">
        <f t="shared" si="148"/>
        <v>Loại 3</v>
      </c>
      <c r="X779" s="32"/>
    </row>
    <row r="780" spans="1:24" ht="15.75" customHeight="1">
      <c r="A780" s="30">
        <f>_xlfn.AGGREGATE(4,7,A$6:A779)+1</f>
        <v>561</v>
      </c>
      <c r="B780" s="66" t="str">
        <f t="shared" si="147"/>
        <v>H. Na Rì</v>
      </c>
      <c r="C780" s="33" t="str">
        <f t="shared" si="153"/>
        <v>X. Dương Sơn</v>
      </c>
      <c r="D780" s="32"/>
      <c r="E780" s="32" t="s">
        <v>58</v>
      </c>
      <c r="F780" s="33" t="s">
        <v>862</v>
      </c>
      <c r="G780" s="32"/>
      <c r="H780" s="32" t="str">
        <f>IF(LEFT('PL1(Full)'!$F780,4)="Thôn","Thôn","Tổ")</f>
        <v>Thôn</v>
      </c>
      <c r="I780" s="35">
        <v>28</v>
      </c>
      <c r="J780" s="35">
        <v>128</v>
      </c>
      <c r="K780" s="35">
        <v>28</v>
      </c>
      <c r="L780" s="37">
        <f t="shared" si="0"/>
        <v>100</v>
      </c>
      <c r="M780" s="35">
        <v>18</v>
      </c>
      <c r="N780" s="38">
        <f t="shared" si="1"/>
        <v>64.285714285714292</v>
      </c>
      <c r="O780" s="35">
        <v>18</v>
      </c>
      <c r="P780" s="38">
        <f t="shared" si="2"/>
        <v>100</v>
      </c>
      <c r="Q780" s="134" t="s">
        <v>224</v>
      </c>
      <c r="R780" s="134" t="str">
        <f t="shared" si="3"/>
        <v>X</v>
      </c>
      <c r="S780" s="135" t="s">
        <v>60</v>
      </c>
      <c r="T780" s="34" t="str">
        <f>IF('PL1(Full)'!$N780&gt;=20,"x",IF(AND('PL1(Full)'!$N780&gt;=15,'PL1(Full)'!$P780&gt;60),"x",""))</f>
        <v>x</v>
      </c>
      <c r="U780" s="34" t="str">
        <f>IF(AND('PL1(Full)'!$H780="Thôn",'PL1(Full)'!$I780&lt;75),"x",IF(AND('PL1(Full)'!$H780="Tổ",'PL1(Full)'!$I780&lt;100),"x","-"))</f>
        <v>x</v>
      </c>
      <c r="V780" s="34" t="str">
        <f>IF(AND('PL1(Full)'!$H780="Thôn",'PL1(Full)'!$I780&lt;140),"x",IF(AND('PL1(Full)'!$H780="Tổ",'PL1(Full)'!$I780&lt;210),"x","-"))</f>
        <v>x</v>
      </c>
      <c r="W780" s="40" t="str">
        <f t="shared" si="148"/>
        <v>Loại 3</v>
      </c>
      <c r="X780" s="32"/>
    </row>
    <row r="781" spans="1:24" ht="15.75" customHeight="1">
      <c r="A781" s="30">
        <f>_xlfn.AGGREGATE(4,7,A$6:A780)+1</f>
        <v>562</v>
      </c>
      <c r="B781" s="66" t="str">
        <f t="shared" si="147"/>
        <v>H. Na Rì</v>
      </c>
      <c r="C781" s="33" t="str">
        <f t="shared" si="153"/>
        <v>X. Dương Sơn</v>
      </c>
      <c r="D781" s="32"/>
      <c r="E781" s="32" t="s">
        <v>58</v>
      </c>
      <c r="F781" s="33" t="s">
        <v>863</v>
      </c>
      <c r="G781" s="32"/>
      <c r="H781" s="32" t="str">
        <f>IF(LEFT('PL1(Full)'!$F781,4)="Thôn","Thôn","Tổ")</f>
        <v>Thôn</v>
      </c>
      <c r="I781" s="35">
        <v>29</v>
      </c>
      <c r="J781" s="35">
        <v>123</v>
      </c>
      <c r="K781" s="35">
        <v>29</v>
      </c>
      <c r="L781" s="37">
        <f t="shared" si="0"/>
        <v>100</v>
      </c>
      <c r="M781" s="35">
        <v>12</v>
      </c>
      <c r="N781" s="38">
        <f t="shared" si="1"/>
        <v>41.379310344827587</v>
      </c>
      <c r="O781" s="35">
        <v>12</v>
      </c>
      <c r="P781" s="38">
        <f t="shared" si="2"/>
        <v>100</v>
      </c>
      <c r="Q781" s="134" t="s">
        <v>224</v>
      </c>
      <c r="R781" s="134" t="str">
        <f t="shared" si="3"/>
        <v>X</v>
      </c>
      <c r="S781" s="135" t="s">
        <v>60</v>
      </c>
      <c r="T781" s="34" t="str">
        <f>IF('PL1(Full)'!$N781&gt;=20,"x",IF(AND('PL1(Full)'!$N781&gt;=15,'PL1(Full)'!$P781&gt;60),"x",""))</f>
        <v>x</v>
      </c>
      <c r="U781" s="34" t="str">
        <f>IF(AND('PL1(Full)'!$H781="Thôn",'PL1(Full)'!$I781&lt;75),"x",IF(AND('PL1(Full)'!$H781="Tổ",'PL1(Full)'!$I781&lt;100),"x","-"))</f>
        <v>x</v>
      </c>
      <c r="V781" s="34" t="str">
        <f>IF(AND('PL1(Full)'!$H781="Thôn",'PL1(Full)'!$I781&lt;140),"x",IF(AND('PL1(Full)'!$H781="Tổ",'PL1(Full)'!$I781&lt;210),"x","-"))</f>
        <v>x</v>
      </c>
      <c r="W781" s="40" t="str">
        <f t="shared" si="148"/>
        <v>Loại 3</v>
      </c>
      <c r="X781" s="32"/>
    </row>
    <row r="782" spans="1:24" ht="15.75" customHeight="1">
      <c r="A782" s="30">
        <f>_xlfn.AGGREGATE(4,7,A$6:A781)+1</f>
        <v>563</v>
      </c>
      <c r="B782" s="66" t="str">
        <f t="shared" si="147"/>
        <v>H. Na Rì</v>
      </c>
      <c r="C782" s="33" t="str">
        <f t="shared" si="153"/>
        <v>X. Dương Sơn</v>
      </c>
      <c r="D782" s="32"/>
      <c r="E782" s="32" t="s">
        <v>58</v>
      </c>
      <c r="F782" s="33" t="s">
        <v>864</v>
      </c>
      <c r="G782" s="32"/>
      <c r="H782" s="32" t="str">
        <f>IF(LEFT('PL1(Full)'!$F782,4)="Thôn","Thôn","Tổ")</f>
        <v>Thôn</v>
      </c>
      <c r="I782" s="35">
        <v>31</v>
      </c>
      <c r="J782" s="35">
        <v>129</v>
      </c>
      <c r="K782" s="35">
        <v>31</v>
      </c>
      <c r="L782" s="37">
        <f t="shared" si="0"/>
        <v>100</v>
      </c>
      <c r="M782" s="35">
        <v>13</v>
      </c>
      <c r="N782" s="38">
        <f t="shared" si="1"/>
        <v>41.935483870967744</v>
      </c>
      <c r="O782" s="35">
        <v>13</v>
      </c>
      <c r="P782" s="38">
        <f t="shared" si="2"/>
        <v>100</v>
      </c>
      <c r="Q782" s="134" t="s">
        <v>213</v>
      </c>
      <c r="R782" s="134" t="str">
        <f t="shared" si="3"/>
        <v>X</v>
      </c>
      <c r="S782" s="135" t="s">
        <v>60</v>
      </c>
      <c r="T782" s="34" t="str">
        <f>IF('PL1(Full)'!$N782&gt;=20,"x",IF(AND('PL1(Full)'!$N782&gt;=15,'PL1(Full)'!$P782&gt;60),"x",""))</f>
        <v>x</v>
      </c>
      <c r="U782" s="34" t="str">
        <f>IF(AND('PL1(Full)'!$H782="Thôn",'PL1(Full)'!$I782&lt;75),"x",IF(AND('PL1(Full)'!$H782="Tổ",'PL1(Full)'!$I782&lt;100),"x","-"))</f>
        <v>x</v>
      </c>
      <c r="V782" s="34" t="str">
        <f>IF(AND('PL1(Full)'!$H782="Thôn",'PL1(Full)'!$I782&lt;140),"x",IF(AND('PL1(Full)'!$H782="Tổ",'PL1(Full)'!$I782&lt;210),"x","-"))</f>
        <v>x</v>
      </c>
      <c r="W782" s="40" t="str">
        <f t="shared" si="148"/>
        <v>Loại 3</v>
      </c>
      <c r="X782" s="32"/>
    </row>
    <row r="783" spans="1:24" ht="15.75" customHeight="1">
      <c r="A783" s="30">
        <f>_xlfn.AGGREGATE(4,7,A$6:A782)+1</f>
        <v>564</v>
      </c>
      <c r="B783" s="66" t="str">
        <f t="shared" si="147"/>
        <v>H. Na Rì</v>
      </c>
      <c r="C783" s="33" t="str">
        <f t="shared" si="153"/>
        <v>X. Dương Sơn</v>
      </c>
      <c r="D783" s="32"/>
      <c r="E783" s="32" t="s">
        <v>58</v>
      </c>
      <c r="F783" s="33" t="s">
        <v>865</v>
      </c>
      <c r="G783" s="32"/>
      <c r="H783" s="32" t="str">
        <f>IF(LEFT('PL1(Full)'!$F783,4)="Thôn","Thôn","Tổ")</f>
        <v>Thôn</v>
      </c>
      <c r="I783" s="35">
        <v>27</v>
      </c>
      <c r="J783" s="35">
        <v>115</v>
      </c>
      <c r="K783" s="35">
        <v>27</v>
      </c>
      <c r="L783" s="37">
        <f t="shared" si="0"/>
        <v>100</v>
      </c>
      <c r="M783" s="35">
        <v>17</v>
      </c>
      <c r="N783" s="38">
        <f t="shared" si="1"/>
        <v>62.962962962962962</v>
      </c>
      <c r="O783" s="35">
        <v>17</v>
      </c>
      <c r="P783" s="38">
        <f t="shared" si="2"/>
        <v>100</v>
      </c>
      <c r="Q783" s="134" t="s">
        <v>224</v>
      </c>
      <c r="R783" s="134" t="str">
        <f t="shared" si="3"/>
        <v>X</v>
      </c>
      <c r="S783" s="135" t="s">
        <v>60</v>
      </c>
      <c r="T783" s="34" t="str">
        <f>IF('PL1(Full)'!$N783&gt;=20,"x",IF(AND('PL1(Full)'!$N783&gt;=15,'PL1(Full)'!$P783&gt;60),"x",""))</f>
        <v>x</v>
      </c>
      <c r="U783" s="34" t="str">
        <f>IF(AND('PL1(Full)'!$H783="Thôn",'PL1(Full)'!$I783&lt;75),"x",IF(AND('PL1(Full)'!$H783="Tổ",'PL1(Full)'!$I783&lt;100),"x","-"))</f>
        <v>x</v>
      </c>
      <c r="V783" s="34" t="str">
        <f>IF(AND('PL1(Full)'!$H783="Thôn",'PL1(Full)'!$I783&lt;140),"x",IF(AND('PL1(Full)'!$H783="Tổ",'PL1(Full)'!$I783&lt;210),"x","-"))</f>
        <v>x</v>
      </c>
      <c r="W783" s="40" t="str">
        <f t="shared" si="148"/>
        <v>Loại 3</v>
      </c>
      <c r="X783" s="32"/>
    </row>
    <row r="784" spans="1:24" ht="15.75" customHeight="1">
      <c r="A784" s="30">
        <f>_xlfn.AGGREGATE(4,7,A$6:A783)+1</f>
        <v>565</v>
      </c>
      <c r="B784" s="66" t="str">
        <f t="shared" si="147"/>
        <v>H. Na Rì</v>
      </c>
      <c r="C784" s="33" t="str">
        <f t="shared" si="153"/>
        <v>X. Dương Sơn</v>
      </c>
      <c r="D784" s="32"/>
      <c r="E784" s="32" t="s">
        <v>58</v>
      </c>
      <c r="F784" s="33" t="s">
        <v>866</v>
      </c>
      <c r="G784" s="32"/>
      <c r="H784" s="32" t="str">
        <f>IF(LEFT('PL1(Full)'!$F784,4)="Thôn","Thôn","Tổ")</f>
        <v>Thôn</v>
      </c>
      <c r="I784" s="35">
        <v>39</v>
      </c>
      <c r="J784" s="35">
        <v>184</v>
      </c>
      <c r="K784" s="35">
        <v>39</v>
      </c>
      <c r="L784" s="37">
        <f t="shared" si="0"/>
        <v>100</v>
      </c>
      <c r="M784" s="35">
        <v>24</v>
      </c>
      <c r="N784" s="38">
        <f t="shared" si="1"/>
        <v>61.53846153846154</v>
      </c>
      <c r="O784" s="35">
        <v>24</v>
      </c>
      <c r="P784" s="38">
        <f t="shared" si="2"/>
        <v>100</v>
      </c>
      <c r="Q784" s="134" t="s">
        <v>220</v>
      </c>
      <c r="R784" s="134" t="str">
        <f t="shared" si="3"/>
        <v>X</v>
      </c>
      <c r="S784" s="135" t="s">
        <v>60</v>
      </c>
      <c r="T784" s="34" t="str">
        <f>IF('PL1(Full)'!$N784&gt;=20,"x",IF(AND('PL1(Full)'!$N784&gt;=15,'PL1(Full)'!$P784&gt;60),"x",""))</f>
        <v>x</v>
      </c>
      <c r="U784" s="34" t="str">
        <f>IF(AND('PL1(Full)'!$H784="Thôn",'PL1(Full)'!$I784&lt;75),"x",IF(AND('PL1(Full)'!$H784="Tổ",'PL1(Full)'!$I784&lt;100),"x","-"))</f>
        <v>x</v>
      </c>
      <c r="V784" s="34" t="str">
        <f>IF(AND('PL1(Full)'!$H784="Thôn",'PL1(Full)'!$I784&lt;140),"x",IF(AND('PL1(Full)'!$H784="Tổ",'PL1(Full)'!$I784&lt;210),"x","-"))</f>
        <v>x</v>
      </c>
      <c r="W784" s="40" t="str">
        <f t="shared" si="148"/>
        <v>Loại 3</v>
      </c>
      <c r="X784" s="32"/>
    </row>
    <row r="785" spans="1:24" ht="15.75" customHeight="1">
      <c r="A785" s="30">
        <f>_xlfn.AGGREGATE(4,7,A$6:A784)+1</f>
        <v>566</v>
      </c>
      <c r="B785" s="66" t="str">
        <f t="shared" si="147"/>
        <v>H. Na Rì</v>
      </c>
      <c r="C785" s="33" t="str">
        <f t="shared" si="153"/>
        <v>X. Dương Sơn</v>
      </c>
      <c r="D785" s="32"/>
      <c r="E785" s="32" t="s">
        <v>58</v>
      </c>
      <c r="F785" s="33" t="s">
        <v>281</v>
      </c>
      <c r="G785" s="32"/>
      <c r="H785" s="32" t="str">
        <f>IF(LEFT('PL1(Full)'!$F785,4)="Thôn","Thôn","Tổ")</f>
        <v>Thôn</v>
      </c>
      <c r="I785" s="35">
        <v>13</v>
      </c>
      <c r="J785" s="35">
        <v>67</v>
      </c>
      <c r="K785" s="35">
        <v>13</v>
      </c>
      <c r="L785" s="37">
        <f t="shared" si="0"/>
        <v>100</v>
      </c>
      <c r="M785" s="35">
        <v>4</v>
      </c>
      <c r="N785" s="38">
        <f t="shared" si="1"/>
        <v>30.76923076923077</v>
      </c>
      <c r="O785" s="35">
        <v>4</v>
      </c>
      <c r="P785" s="38">
        <f t="shared" si="2"/>
        <v>100</v>
      </c>
      <c r="Q785" s="140" t="s">
        <v>224</v>
      </c>
      <c r="R785" s="140" t="str">
        <f t="shared" si="3"/>
        <v>X</v>
      </c>
      <c r="S785" s="141" t="s">
        <v>60</v>
      </c>
      <c r="T785" s="34" t="str">
        <f>IF('PL1(Full)'!$N785&gt;=20,"x",IF(AND('PL1(Full)'!$N785&gt;=15,'PL1(Full)'!$P785&gt;60),"x",""))</f>
        <v>x</v>
      </c>
      <c r="U785" s="34" t="str">
        <f>IF(AND('PL1(Full)'!$H785="Thôn",'PL1(Full)'!$I785&lt;75),"x",IF(AND('PL1(Full)'!$H785="Tổ",'PL1(Full)'!$I785&lt;100),"x","-"))</f>
        <v>x</v>
      </c>
      <c r="V785" s="34" t="str">
        <f>IF(AND('PL1(Full)'!$H785="Thôn",'PL1(Full)'!$I785&lt;140),"x",IF(AND('PL1(Full)'!$H785="Tổ",'PL1(Full)'!$I785&lt;210),"x","-"))</f>
        <v>x</v>
      </c>
      <c r="W785" s="40" t="str">
        <f t="shared" si="148"/>
        <v>Loại 3</v>
      </c>
      <c r="X785" s="32"/>
    </row>
    <row r="786" spans="1:24" ht="15.75" customHeight="1">
      <c r="A786" s="30">
        <f>_xlfn.AGGREGATE(4,7,A$6:A785)+1</f>
        <v>567</v>
      </c>
      <c r="B786" s="66" t="str">
        <f t="shared" si="147"/>
        <v>H. Na Rì</v>
      </c>
      <c r="C786" s="33" t="str">
        <f t="shared" si="153"/>
        <v>X. Dương Sơn</v>
      </c>
      <c r="D786" s="32"/>
      <c r="E786" s="32" t="s">
        <v>58</v>
      </c>
      <c r="F786" s="33" t="s">
        <v>867</v>
      </c>
      <c r="G786" s="32"/>
      <c r="H786" s="32" t="str">
        <f>IF(LEFT('PL1(Full)'!$F786,4)="Thôn","Thôn","Tổ")</f>
        <v>Thôn</v>
      </c>
      <c r="I786" s="35">
        <v>16</v>
      </c>
      <c r="J786" s="35">
        <v>77</v>
      </c>
      <c r="K786" s="35">
        <v>16</v>
      </c>
      <c r="L786" s="37">
        <f t="shared" si="0"/>
        <v>100</v>
      </c>
      <c r="M786" s="35">
        <v>6</v>
      </c>
      <c r="N786" s="38">
        <f t="shared" si="1"/>
        <v>37.5</v>
      </c>
      <c r="O786" s="35">
        <v>6</v>
      </c>
      <c r="P786" s="38">
        <f t="shared" si="2"/>
        <v>100</v>
      </c>
      <c r="Q786" s="134" t="s">
        <v>868</v>
      </c>
      <c r="R786" s="134" t="str">
        <f t="shared" si="3"/>
        <v>X</v>
      </c>
      <c r="S786" s="135"/>
      <c r="T786" s="34" t="str">
        <f>IF('PL1(Full)'!$N786&gt;=20,"x",IF(AND('PL1(Full)'!$N786&gt;=15,'PL1(Full)'!$P786&gt;60),"x",""))</f>
        <v>x</v>
      </c>
      <c r="U786" s="34" t="str">
        <f>IF(AND('PL1(Full)'!$H786="Thôn",'PL1(Full)'!$I786&lt;75),"x",IF(AND('PL1(Full)'!$H786="Tổ",'PL1(Full)'!$I786&lt;100),"x","-"))</f>
        <v>x</v>
      </c>
      <c r="V786" s="34" t="str">
        <f>IF(AND('PL1(Full)'!$H786="Thôn",'PL1(Full)'!$I786&lt;140),"x",IF(AND('PL1(Full)'!$H786="Tổ",'PL1(Full)'!$I786&lt;210),"x","-"))</f>
        <v>x</v>
      </c>
      <c r="W786" s="40" t="str">
        <f t="shared" si="148"/>
        <v>Loại 3</v>
      </c>
      <c r="X786" s="32"/>
    </row>
    <row r="787" spans="1:24" ht="15.75" customHeight="1">
      <c r="A787" s="41">
        <f>_xlfn.AGGREGATE(4,7,A$6:A786)+1</f>
        <v>568</v>
      </c>
      <c r="B787" s="67" t="str">
        <f t="shared" si="147"/>
        <v>H. Na Rì</v>
      </c>
      <c r="C787" s="44" t="str">
        <f t="shared" si="153"/>
        <v>X. Dương Sơn</v>
      </c>
      <c r="D787" s="43"/>
      <c r="E787" s="43" t="s">
        <v>58</v>
      </c>
      <c r="F787" s="44" t="s">
        <v>869</v>
      </c>
      <c r="G787" s="43"/>
      <c r="H787" s="43" t="str">
        <f>IF(LEFT('PL1(Full)'!$F787,4)="Thôn","Thôn","Tổ")</f>
        <v>Thôn</v>
      </c>
      <c r="I787" s="45">
        <v>41</v>
      </c>
      <c r="J787" s="45">
        <v>197</v>
      </c>
      <c r="K787" s="45">
        <v>39</v>
      </c>
      <c r="L787" s="47">
        <f t="shared" si="0"/>
        <v>95.121951219512198</v>
      </c>
      <c r="M787" s="45">
        <v>8</v>
      </c>
      <c r="N787" s="48">
        <f t="shared" si="1"/>
        <v>19.512195121951219</v>
      </c>
      <c r="O787" s="45">
        <v>7</v>
      </c>
      <c r="P787" s="48">
        <f t="shared" si="2"/>
        <v>87.5</v>
      </c>
      <c r="Q787" s="136" t="s">
        <v>220</v>
      </c>
      <c r="R787" s="136" t="str">
        <f t="shared" si="3"/>
        <v>X</v>
      </c>
      <c r="S787" s="137" t="s">
        <v>60</v>
      </c>
      <c r="T787" s="50" t="str">
        <f>IF('PL1(Full)'!$N787&gt;=20,"x",IF(AND('PL1(Full)'!$N787&gt;=15,'PL1(Full)'!$P787&gt;60),"x",""))</f>
        <v>x</v>
      </c>
      <c r="U787" s="50" t="str">
        <f>IF(AND('PL1(Full)'!$H787="Thôn",'PL1(Full)'!$I787&lt;75),"x",IF(AND('PL1(Full)'!$H787="Tổ",'PL1(Full)'!$I787&lt;100),"x","-"))</f>
        <v>x</v>
      </c>
      <c r="V787" s="34" t="str">
        <f>IF(AND('PL1(Full)'!$H787="Thôn",'PL1(Full)'!$I787&lt;140),"x",IF(AND('PL1(Full)'!$H787="Tổ",'PL1(Full)'!$I787&lt;210),"x","-"))</f>
        <v>x</v>
      </c>
      <c r="W787" s="51" t="str">
        <f t="shared" si="148"/>
        <v>Loại 3</v>
      </c>
      <c r="X787" s="43"/>
    </row>
    <row r="788" spans="1:24" ht="15.75" customHeight="1">
      <c r="A788" s="52">
        <f>_xlfn.AGGREGATE(4,7,A$6:A787)+1</f>
        <v>569</v>
      </c>
      <c r="B788" s="65" t="str">
        <f t="shared" si="147"/>
        <v>H. Na Rì</v>
      </c>
      <c r="C788" s="14" t="s">
        <v>870</v>
      </c>
      <c r="D788" s="15" t="s">
        <v>58</v>
      </c>
      <c r="E788" s="16" t="s">
        <v>58</v>
      </c>
      <c r="F788" s="17" t="s">
        <v>871</v>
      </c>
      <c r="G788" s="18"/>
      <c r="H788" s="18" t="str">
        <f>IF(LEFT('PL1(Full)'!$F788,4)="Thôn","Thôn","Tổ")</f>
        <v>Thôn</v>
      </c>
      <c r="I788" s="19">
        <v>30</v>
      </c>
      <c r="J788" s="19">
        <v>129</v>
      </c>
      <c r="K788" s="19">
        <v>30</v>
      </c>
      <c r="L788" s="21">
        <f t="shared" si="0"/>
        <v>100</v>
      </c>
      <c r="M788" s="19">
        <v>7</v>
      </c>
      <c r="N788" s="22">
        <f t="shared" si="1"/>
        <v>23.333333333333332</v>
      </c>
      <c r="O788" s="19">
        <v>7</v>
      </c>
      <c r="P788" s="22">
        <f t="shared" si="2"/>
        <v>100</v>
      </c>
      <c r="Q788" s="132" t="s">
        <v>63</v>
      </c>
      <c r="R788" s="132" t="str">
        <f t="shared" si="3"/>
        <v>X</v>
      </c>
      <c r="S788" s="133"/>
      <c r="T788" s="26" t="str">
        <f>IF('PL1(Full)'!$N788&gt;=20,"x",IF(AND('PL1(Full)'!$N788&gt;=15,'PL1(Full)'!$P788&gt;60),"x",""))</f>
        <v>x</v>
      </c>
      <c r="U788" s="27" t="str">
        <f>IF(AND('PL1(Full)'!$H788="Thôn",'PL1(Full)'!$I788&lt;75),"x",IF(AND('PL1(Full)'!$H788="Tổ",'PL1(Full)'!$I788&lt;100),"x","-"))</f>
        <v>x</v>
      </c>
      <c r="V788" s="28" t="str">
        <f>IF(AND('PL1(Full)'!$H788="Thôn",'PL1(Full)'!$I788&lt;140),"x",IF(AND('PL1(Full)'!$H788="Tổ",'PL1(Full)'!$I788&lt;210),"x","-"))</f>
        <v>x</v>
      </c>
      <c r="W788" s="29" t="str">
        <f t="shared" si="148"/>
        <v>Loại 3</v>
      </c>
      <c r="X788" s="18"/>
    </row>
    <row r="789" spans="1:24" ht="15.75" customHeight="1">
      <c r="A789" s="30">
        <f>_xlfn.AGGREGATE(4,7,A$6:A788)+1</f>
        <v>570</v>
      </c>
      <c r="B789" s="66" t="str">
        <f t="shared" si="147"/>
        <v>H. Na Rì</v>
      </c>
      <c r="C789" s="33" t="str">
        <f t="shared" ref="C789:C797" si="154">C788</f>
        <v>X. Kim Hỷ</v>
      </c>
      <c r="D789" s="32"/>
      <c r="E789" s="32" t="s">
        <v>58</v>
      </c>
      <c r="F789" s="33" t="s">
        <v>519</v>
      </c>
      <c r="G789" s="32"/>
      <c r="H789" s="32" t="str">
        <f>IF(LEFT('PL1(Full)'!$F789,4)="Thôn","Thôn","Tổ")</f>
        <v>Thôn</v>
      </c>
      <c r="I789" s="35">
        <v>52</v>
      </c>
      <c r="J789" s="35">
        <v>224</v>
      </c>
      <c r="K789" s="35">
        <v>52</v>
      </c>
      <c r="L789" s="37">
        <f t="shared" si="0"/>
        <v>100</v>
      </c>
      <c r="M789" s="35">
        <v>10</v>
      </c>
      <c r="N789" s="38">
        <f t="shared" si="1"/>
        <v>19.23076923076923</v>
      </c>
      <c r="O789" s="35">
        <v>10</v>
      </c>
      <c r="P789" s="38">
        <f t="shared" si="2"/>
        <v>100</v>
      </c>
      <c r="Q789" s="134" t="s">
        <v>158</v>
      </c>
      <c r="R789" s="134" t="str">
        <f t="shared" si="3"/>
        <v>X</v>
      </c>
      <c r="S789" s="135"/>
      <c r="T789" s="34" t="str">
        <f>IF('PL1(Full)'!$N789&gt;=20,"x",IF(AND('PL1(Full)'!$N789&gt;=15,'PL1(Full)'!$P789&gt;60),"x",""))</f>
        <v>x</v>
      </c>
      <c r="U789" s="34" t="str">
        <f>IF(AND('PL1(Full)'!$H789="Thôn",'PL1(Full)'!$I789&lt;75),"x",IF(AND('PL1(Full)'!$H789="Tổ",'PL1(Full)'!$I789&lt;100),"x","-"))</f>
        <v>x</v>
      </c>
      <c r="V789" s="34" t="str">
        <f>IF(AND('PL1(Full)'!$H789="Thôn",'PL1(Full)'!$I789&lt;140),"x",IF(AND('PL1(Full)'!$H789="Tổ",'PL1(Full)'!$I789&lt;210),"x","-"))</f>
        <v>x</v>
      </c>
      <c r="W789" s="40" t="str">
        <f t="shared" si="148"/>
        <v>Loại 3</v>
      </c>
      <c r="X789" s="32"/>
    </row>
    <row r="790" spans="1:24" ht="15.75" customHeight="1">
      <c r="A790" s="30">
        <f>_xlfn.AGGREGATE(4,7,A$6:A789)+1</f>
        <v>571</v>
      </c>
      <c r="B790" s="66" t="str">
        <f t="shared" si="147"/>
        <v>H. Na Rì</v>
      </c>
      <c r="C790" s="33" t="str">
        <f t="shared" si="154"/>
        <v>X. Kim Hỷ</v>
      </c>
      <c r="D790" s="32"/>
      <c r="E790" s="32" t="s">
        <v>58</v>
      </c>
      <c r="F790" s="33" t="s">
        <v>872</v>
      </c>
      <c r="G790" s="32"/>
      <c r="H790" s="32" t="str">
        <f>IF(LEFT('PL1(Full)'!$F790,4)="Thôn","Thôn","Tổ")</f>
        <v>Thôn</v>
      </c>
      <c r="I790" s="35">
        <v>43</v>
      </c>
      <c r="J790" s="35">
        <v>175</v>
      </c>
      <c r="K790" s="35">
        <v>43</v>
      </c>
      <c r="L790" s="37">
        <f t="shared" si="0"/>
        <v>100</v>
      </c>
      <c r="M790" s="35">
        <v>7</v>
      </c>
      <c r="N790" s="38">
        <f t="shared" si="1"/>
        <v>16.279069767441861</v>
      </c>
      <c r="O790" s="35">
        <v>7</v>
      </c>
      <c r="P790" s="38">
        <f t="shared" si="2"/>
        <v>100</v>
      </c>
      <c r="Q790" s="134" t="s">
        <v>63</v>
      </c>
      <c r="R790" s="134" t="str">
        <f t="shared" si="3"/>
        <v>X</v>
      </c>
      <c r="S790" s="135"/>
      <c r="T790" s="34" t="str">
        <f>IF('PL1(Full)'!$N790&gt;=20,"x",IF(AND('PL1(Full)'!$N790&gt;=15,'PL1(Full)'!$P790&gt;60),"x",""))</f>
        <v>x</v>
      </c>
      <c r="U790" s="34" t="str">
        <f>IF(AND('PL1(Full)'!$H790="Thôn",'PL1(Full)'!$I790&lt;75),"x",IF(AND('PL1(Full)'!$H790="Tổ",'PL1(Full)'!$I790&lt;100),"x","-"))</f>
        <v>x</v>
      </c>
      <c r="V790" s="34" t="str">
        <f>IF(AND('PL1(Full)'!$H790="Thôn",'PL1(Full)'!$I790&lt;140),"x",IF(AND('PL1(Full)'!$H790="Tổ",'PL1(Full)'!$I790&lt;210),"x","-"))</f>
        <v>x</v>
      </c>
      <c r="W790" s="40" t="str">
        <f t="shared" si="148"/>
        <v>Loại 3</v>
      </c>
      <c r="X790" s="32"/>
    </row>
    <row r="791" spans="1:24" ht="15.75" customHeight="1">
      <c r="A791" s="30">
        <f>_xlfn.AGGREGATE(4,7,A$6:A790)+1</f>
        <v>572</v>
      </c>
      <c r="B791" s="66" t="str">
        <f t="shared" si="147"/>
        <v>H. Na Rì</v>
      </c>
      <c r="C791" s="33" t="str">
        <f t="shared" si="154"/>
        <v>X. Kim Hỷ</v>
      </c>
      <c r="D791" s="32"/>
      <c r="E791" s="32" t="s">
        <v>58</v>
      </c>
      <c r="F791" s="33" t="s">
        <v>873</v>
      </c>
      <c r="G791" s="32"/>
      <c r="H791" s="32" t="str">
        <f>IF(LEFT('PL1(Full)'!$F791,4)="Thôn","Thôn","Tổ")</f>
        <v>Thôn</v>
      </c>
      <c r="I791" s="35">
        <v>44</v>
      </c>
      <c r="J791" s="35">
        <v>199</v>
      </c>
      <c r="K791" s="35">
        <v>44</v>
      </c>
      <c r="L791" s="37">
        <f t="shared" si="0"/>
        <v>100</v>
      </c>
      <c r="M791" s="35">
        <v>40</v>
      </c>
      <c r="N791" s="38">
        <f t="shared" si="1"/>
        <v>90.909090909090907</v>
      </c>
      <c r="O791" s="35">
        <v>40</v>
      </c>
      <c r="P791" s="38">
        <f t="shared" si="2"/>
        <v>100</v>
      </c>
      <c r="Q791" s="134" t="s">
        <v>52</v>
      </c>
      <c r="R791" s="134" t="str">
        <f t="shared" si="3"/>
        <v>C</v>
      </c>
      <c r="S791" s="135" t="s">
        <v>60</v>
      </c>
      <c r="T791" s="34" t="str">
        <f>IF('PL1(Full)'!$N791&gt;=20,"x",IF(AND('PL1(Full)'!$N791&gt;=15,'PL1(Full)'!$P791&gt;60),"x",""))</f>
        <v>x</v>
      </c>
      <c r="U791" s="34" t="str">
        <f>IF(AND('PL1(Full)'!$H791="Thôn",'PL1(Full)'!$I791&lt;75),"x",IF(AND('PL1(Full)'!$H791="Tổ",'PL1(Full)'!$I791&lt;100),"x","-"))</f>
        <v>x</v>
      </c>
      <c r="V791" s="34" t="str">
        <f>IF(AND('PL1(Full)'!$H791="Thôn",'PL1(Full)'!$I791&lt;140),"x",IF(AND('PL1(Full)'!$H791="Tổ",'PL1(Full)'!$I791&lt;210),"x","-"))</f>
        <v>x</v>
      </c>
      <c r="W791" s="40" t="str">
        <f t="shared" si="148"/>
        <v>Loại 3</v>
      </c>
      <c r="X791" s="32"/>
    </row>
    <row r="792" spans="1:24" ht="15.75" customHeight="1">
      <c r="A792" s="30">
        <f>_xlfn.AGGREGATE(4,7,A$6:A791)+1</f>
        <v>573</v>
      </c>
      <c r="B792" s="66" t="str">
        <f t="shared" si="147"/>
        <v>H. Na Rì</v>
      </c>
      <c r="C792" s="33" t="str">
        <f t="shared" si="154"/>
        <v>X. Kim Hỷ</v>
      </c>
      <c r="D792" s="32"/>
      <c r="E792" s="32" t="s">
        <v>58</v>
      </c>
      <c r="F792" s="33" t="s">
        <v>874</v>
      </c>
      <c r="G792" s="32"/>
      <c r="H792" s="32" t="str">
        <f>IF(LEFT('PL1(Full)'!$F792,4)="Thôn","Thôn","Tổ")</f>
        <v>Thôn</v>
      </c>
      <c r="I792" s="35">
        <v>30</v>
      </c>
      <c r="J792" s="35">
        <v>136</v>
      </c>
      <c r="K792" s="35">
        <v>30</v>
      </c>
      <c r="L792" s="37">
        <f t="shared" si="0"/>
        <v>100</v>
      </c>
      <c r="M792" s="35">
        <v>29</v>
      </c>
      <c r="N792" s="38">
        <f t="shared" si="1"/>
        <v>96.666666666666671</v>
      </c>
      <c r="O792" s="35">
        <v>29</v>
      </c>
      <c r="P792" s="38">
        <f t="shared" si="2"/>
        <v>100</v>
      </c>
      <c r="Q792" s="134" t="s">
        <v>63</v>
      </c>
      <c r="R792" s="134" t="str">
        <f t="shared" si="3"/>
        <v>X</v>
      </c>
      <c r="S792" s="135" t="s">
        <v>60</v>
      </c>
      <c r="T792" s="34" t="str">
        <f>IF('PL1(Full)'!$N792&gt;=20,"x",IF(AND('PL1(Full)'!$N792&gt;=15,'PL1(Full)'!$P792&gt;60),"x",""))</f>
        <v>x</v>
      </c>
      <c r="U792" s="34" t="str">
        <f>IF(AND('PL1(Full)'!$H792="Thôn",'PL1(Full)'!$I792&lt;75),"x",IF(AND('PL1(Full)'!$H792="Tổ",'PL1(Full)'!$I792&lt;100),"x","-"))</f>
        <v>x</v>
      </c>
      <c r="V792" s="34" t="str">
        <f>IF(AND('PL1(Full)'!$H792="Thôn",'PL1(Full)'!$I792&lt;140),"x",IF(AND('PL1(Full)'!$H792="Tổ",'PL1(Full)'!$I792&lt;210),"x","-"))</f>
        <v>x</v>
      </c>
      <c r="W792" s="40" t="str">
        <f t="shared" si="148"/>
        <v>Loại 3</v>
      </c>
      <c r="X792" s="32"/>
    </row>
    <row r="793" spans="1:24" ht="15.75" customHeight="1">
      <c r="A793" s="30">
        <f>_xlfn.AGGREGATE(4,7,A$6:A792)+1</f>
        <v>574</v>
      </c>
      <c r="B793" s="66" t="str">
        <f t="shared" si="147"/>
        <v>H. Na Rì</v>
      </c>
      <c r="C793" s="33" t="str">
        <f t="shared" si="154"/>
        <v>X. Kim Hỷ</v>
      </c>
      <c r="D793" s="32"/>
      <c r="E793" s="32" t="s">
        <v>58</v>
      </c>
      <c r="F793" s="33" t="s">
        <v>875</v>
      </c>
      <c r="G793" s="32"/>
      <c r="H793" s="32" t="str">
        <f>IF(LEFT('PL1(Full)'!$F793,4)="Thôn","Thôn","Tổ")</f>
        <v>Thôn</v>
      </c>
      <c r="I793" s="35">
        <v>66</v>
      </c>
      <c r="J793" s="35">
        <v>252</v>
      </c>
      <c r="K793" s="35">
        <v>65</v>
      </c>
      <c r="L793" s="37">
        <f t="shared" si="0"/>
        <v>98.484848484848484</v>
      </c>
      <c r="M793" s="35">
        <v>28</v>
      </c>
      <c r="N793" s="38">
        <f t="shared" si="1"/>
        <v>42.424242424242422</v>
      </c>
      <c r="O793" s="35">
        <v>28</v>
      </c>
      <c r="P793" s="38">
        <f t="shared" si="2"/>
        <v>100</v>
      </c>
      <c r="Q793" s="134" t="s">
        <v>158</v>
      </c>
      <c r="R793" s="134" t="str">
        <f t="shared" si="3"/>
        <v>X</v>
      </c>
      <c r="S793" s="135" t="s">
        <v>60</v>
      </c>
      <c r="T793" s="34" t="str">
        <f>IF('PL1(Full)'!$N793&gt;=20,"x",IF(AND('PL1(Full)'!$N793&gt;=15,'PL1(Full)'!$P793&gt;60),"x",""))</f>
        <v>x</v>
      </c>
      <c r="U793" s="34" t="str">
        <f>IF(AND('PL1(Full)'!$H793="Thôn",'PL1(Full)'!$I793&lt;75),"x",IF(AND('PL1(Full)'!$H793="Tổ",'PL1(Full)'!$I793&lt;100),"x","-"))</f>
        <v>x</v>
      </c>
      <c r="V793" s="34" t="str">
        <f>IF(AND('PL1(Full)'!$H793="Thôn",'PL1(Full)'!$I793&lt;140),"x",IF(AND('PL1(Full)'!$H793="Tổ",'PL1(Full)'!$I793&lt;210),"x","-"))</f>
        <v>x</v>
      </c>
      <c r="W793" s="40" t="str">
        <f t="shared" si="148"/>
        <v>Loại 3</v>
      </c>
      <c r="X793" s="32"/>
    </row>
    <row r="794" spans="1:24" ht="15.75" customHeight="1">
      <c r="A794" s="30">
        <f>_xlfn.AGGREGATE(4,7,A$6:A793)+1</f>
        <v>575</v>
      </c>
      <c r="B794" s="66" t="str">
        <f t="shared" si="147"/>
        <v>H. Na Rì</v>
      </c>
      <c r="C794" s="33" t="str">
        <f t="shared" si="154"/>
        <v>X. Kim Hỷ</v>
      </c>
      <c r="D794" s="32"/>
      <c r="E794" s="32" t="s">
        <v>58</v>
      </c>
      <c r="F794" s="33" t="s">
        <v>876</v>
      </c>
      <c r="G794" s="32"/>
      <c r="H794" s="32" t="str">
        <f>IF(LEFT('PL1(Full)'!$F794,4)="Thôn","Thôn","Tổ")</f>
        <v>Thôn</v>
      </c>
      <c r="I794" s="35">
        <v>44</v>
      </c>
      <c r="J794" s="35">
        <v>214</v>
      </c>
      <c r="K794" s="35">
        <v>44</v>
      </c>
      <c r="L794" s="37">
        <f t="shared" si="0"/>
        <v>100</v>
      </c>
      <c r="M794" s="35">
        <v>29</v>
      </c>
      <c r="N794" s="38">
        <f t="shared" si="1"/>
        <v>65.909090909090907</v>
      </c>
      <c r="O794" s="35">
        <v>29</v>
      </c>
      <c r="P794" s="38">
        <f t="shared" si="2"/>
        <v>100</v>
      </c>
      <c r="Q794" s="134" t="s">
        <v>52</v>
      </c>
      <c r="R794" s="134" t="str">
        <f t="shared" si="3"/>
        <v>C</v>
      </c>
      <c r="S794" s="135" t="s">
        <v>60</v>
      </c>
      <c r="T794" s="34" t="str">
        <f>IF('PL1(Full)'!$N794&gt;=20,"x",IF(AND('PL1(Full)'!$N794&gt;=15,'PL1(Full)'!$P794&gt;60),"x",""))</f>
        <v>x</v>
      </c>
      <c r="U794" s="34" t="str">
        <f>IF(AND('PL1(Full)'!$H794="Thôn",'PL1(Full)'!$I794&lt;75),"x",IF(AND('PL1(Full)'!$H794="Tổ",'PL1(Full)'!$I794&lt;100),"x","-"))</f>
        <v>x</v>
      </c>
      <c r="V794" s="34" t="str">
        <f>IF(AND('PL1(Full)'!$H794="Thôn",'PL1(Full)'!$I794&lt;140),"x",IF(AND('PL1(Full)'!$H794="Tổ",'PL1(Full)'!$I794&lt;210),"x","-"))</f>
        <v>x</v>
      </c>
      <c r="W794" s="40" t="str">
        <f t="shared" si="148"/>
        <v>Loại 3</v>
      </c>
      <c r="X794" s="32"/>
    </row>
    <row r="795" spans="1:24" ht="15.75" customHeight="1">
      <c r="A795" s="30">
        <f>_xlfn.AGGREGATE(4,7,A$6:A794)+1</f>
        <v>576</v>
      </c>
      <c r="B795" s="66" t="str">
        <f t="shared" si="147"/>
        <v>H. Na Rì</v>
      </c>
      <c r="C795" s="33" t="str">
        <f t="shared" si="154"/>
        <v>X. Kim Hỷ</v>
      </c>
      <c r="D795" s="32"/>
      <c r="E795" s="32" t="s">
        <v>58</v>
      </c>
      <c r="F795" s="33" t="s">
        <v>877</v>
      </c>
      <c r="G795" s="32"/>
      <c r="H795" s="32" t="str">
        <f>IF(LEFT('PL1(Full)'!$F795,4)="Thôn","Thôn","Tổ")</f>
        <v>Thôn</v>
      </c>
      <c r="I795" s="35">
        <v>30</v>
      </c>
      <c r="J795" s="35">
        <v>141</v>
      </c>
      <c r="K795" s="35">
        <v>30</v>
      </c>
      <c r="L795" s="37">
        <f t="shared" si="0"/>
        <v>100</v>
      </c>
      <c r="M795" s="35">
        <v>19</v>
      </c>
      <c r="N795" s="38">
        <f t="shared" si="1"/>
        <v>63.333333333333336</v>
      </c>
      <c r="O795" s="35">
        <v>19</v>
      </c>
      <c r="P795" s="38">
        <f t="shared" si="2"/>
        <v>100</v>
      </c>
      <c r="Q795" s="134" t="s">
        <v>63</v>
      </c>
      <c r="R795" s="134" t="str">
        <f t="shared" si="3"/>
        <v>X</v>
      </c>
      <c r="S795" s="135" t="s">
        <v>60</v>
      </c>
      <c r="T795" s="34" t="str">
        <f>IF('PL1(Full)'!$N795&gt;=20,"x",IF(AND('PL1(Full)'!$N795&gt;=15,'PL1(Full)'!$P795&gt;60),"x",""))</f>
        <v>x</v>
      </c>
      <c r="U795" s="34" t="str">
        <f>IF(AND('PL1(Full)'!$H795="Thôn",'PL1(Full)'!$I795&lt;75),"x",IF(AND('PL1(Full)'!$H795="Tổ",'PL1(Full)'!$I795&lt;100),"x","-"))</f>
        <v>x</v>
      </c>
      <c r="V795" s="34" t="str">
        <f>IF(AND('PL1(Full)'!$H795="Thôn",'PL1(Full)'!$I795&lt;140),"x",IF(AND('PL1(Full)'!$H795="Tổ",'PL1(Full)'!$I795&lt;210),"x","-"))</f>
        <v>x</v>
      </c>
      <c r="W795" s="40" t="str">
        <f t="shared" si="148"/>
        <v>Loại 3</v>
      </c>
      <c r="X795" s="32"/>
    </row>
    <row r="796" spans="1:24" ht="15.75" customHeight="1">
      <c r="A796" s="30">
        <f>_xlfn.AGGREGATE(4,7,A$6:A795)+1</f>
        <v>577</v>
      </c>
      <c r="B796" s="66" t="str">
        <f t="shared" si="147"/>
        <v>H. Na Rì</v>
      </c>
      <c r="C796" s="33" t="str">
        <f t="shared" si="154"/>
        <v>X. Kim Hỷ</v>
      </c>
      <c r="D796" s="32"/>
      <c r="E796" s="32" t="s">
        <v>58</v>
      </c>
      <c r="F796" s="33" t="s">
        <v>878</v>
      </c>
      <c r="G796" s="32"/>
      <c r="H796" s="32" t="str">
        <f>IF(LEFT('PL1(Full)'!$F796,4)="Thôn","Thôn","Tổ")</f>
        <v>Thôn</v>
      </c>
      <c r="I796" s="35">
        <v>34</v>
      </c>
      <c r="J796" s="35">
        <v>154</v>
      </c>
      <c r="K796" s="35">
        <v>34</v>
      </c>
      <c r="L796" s="37">
        <f t="shared" si="0"/>
        <v>100</v>
      </c>
      <c r="M796" s="35">
        <v>13</v>
      </c>
      <c r="N796" s="38">
        <f t="shared" si="1"/>
        <v>38.235294117647058</v>
      </c>
      <c r="O796" s="35">
        <v>13</v>
      </c>
      <c r="P796" s="38">
        <f t="shared" si="2"/>
        <v>100</v>
      </c>
      <c r="Q796" s="134" t="s">
        <v>52</v>
      </c>
      <c r="R796" s="134" t="str">
        <f t="shared" si="3"/>
        <v>C</v>
      </c>
      <c r="S796" s="135"/>
      <c r="T796" s="34" t="str">
        <f>IF('PL1(Full)'!$N796&gt;=20,"x",IF(AND('PL1(Full)'!$N796&gt;=15,'PL1(Full)'!$P796&gt;60),"x",""))</f>
        <v>x</v>
      </c>
      <c r="U796" s="34" t="str">
        <f>IF(AND('PL1(Full)'!$H796="Thôn",'PL1(Full)'!$I796&lt;75),"x",IF(AND('PL1(Full)'!$H796="Tổ",'PL1(Full)'!$I796&lt;100),"x","-"))</f>
        <v>x</v>
      </c>
      <c r="V796" s="34" t="str">
        <f>IF(AND('PL1(Full)'!$H796="Thôn",'PL1(Full)'!$I796&lt;140),"x",IF(AND('PL1(Full)'!$H796="Tổ",'PL1(Full)'!$I796&lt;210),"x","-"))</f>
        <v>x</v>
      </c>
      <c r="W796" s="40" t="str">
        <f t="shared" si="148"/>
        <v>Loại 3</v>
      </c>
      <c r="X796" s="32"/>
    </row>
    <row r="797" spans="1:24" ht="15.75" customHeight="1">
      <c r="A797" s="41">
        <f>_xlfn.AGGREGATE(4,7,A$6:A796)+1</f>
        <v>578</v>
      </c>
      <c r="B797" s="67" t="str">
        <f t="shared" si="147"/>
        <v>H. Na Rì</v>
      </c>
      <c r="C797" s="44" t="str">
        <f t="shared" si="154"/>
        <v>X. Kim Hỷ</v>
      </c>
      <c r="D797" s="43"/>
      <c r="E797" s="43" t="s">
        <v>58</v>
      </c>
      <c r="F797" s="44" t="s">
        <v>879</v>
      </c>
      <c r="G797" s="43"/>
      <c r="H797" s="43" t="str">
        <f>IF(LEFT('PL1(Full)'!$F797,4)="Thôn","Thôn","Tổ")</f>
        <v>Thôn</v>
      </c>
      <c r="I797" s="45">
        <v>39</v>
      </c>
      <c r="J797" s="45">
        <v>183</v>
      </c>
      <c r="K797" s="45">
        <v>39</v>
      </c>
      <c r="L797" s="47">
        <f t="shared" si="0"/>
        <v>100</v>
      </c>
      <c r="M797" s="45">
        <v>11</v>
      </c>
      <c r="N797" s="48">
        <f t="shared" si="1"/>
        <v>28.205128205128204</v>
      </c>
      <c r="O797" s="45">
        <v>11</v>
      </c>
      <c r="P797" s="48">
        <f t="shared" si="2"/>
        <v>100</v>
      </c>
      <c r="Q797" s="134" t="s">
        <v>63</v>
      </c>
      <c r="R797" s="136" t="str">
        <f t="shared" si="3"/>
        <v>X</v>
      </c>
      <c r="S797" s="137"/>
      <c r="T797" s="50" t="str">
        <f>IF('PL1(Full)'!$N797&gt;=20,"x",IF(AND('PL1(Full)'!$N797&gt;=15,'PL1(Full)'!$P797&gt;60),"x",""))</f>
        <v>x</v>
      </c>
      <c r="U797" s="50" t="str">
        <f>IF(AND('PL1(Full)'!$H797="Thôn",'PL1(Full)'!$I797&lt;75),"x",IF(AND('PL1(Full)'!$H797="Tổ",'PL1(Full)'!$I797&lt;100),"x","-"))</f>
        <v>x</v>
      </c>
      <c r="V797" s="34" t="str">
        <f>IF(AND('PL1(Full)'!$H797="Thôn",'PL1(Full)'!$I797&lt;140),"x",IF(AND('PL1(Full)'!$H797="Tổ",'PL1(Full)'!$I797&lt;210),"x","-"))</f>
        <v>x</v>
      </c>
      <c r="W797" s="51" t="str">
        <f t="shared" si="148"/>
        <v>Loại 3</v>
      </c>
      <c r="X797" s="43"/>
    </row>
    <row r="798" spans="1:24" ht="15.75" customHeight="1">
      <c r="A798" s="52">
        <f>_xlfn.AGGREGATE(4,7,A$6:A797)+1</f>
        <v>579</v>
      </c>
      <c r="B798" s="65" t="str">
        <f t="shared" si="147"/>
        <v>H. Na Rì</v>
      </c>
      <c r="C798" s="14" t="s">
        <v>880</v>
      </c>
      <c r="D798" s="15" t="s">
        <v>36</v>
      </c>
      <c r="E798" s="16" t="s">
        <v>36</v>
      </c>
      <c r="F798" s="17" t="s">
        <v>881</v>
      </c>
      <c r="G798" s="18"/>
      <c r="H798" s="18" t="str">
        <f>IF(LEFT('PL1(Full)'!$F798,4)="Thôn","Thôn","Tổ")</f>
        <v>Thôn</v>
      </c>
      <c r="I798" s="19">
        <v>73</v>
      </c>
      <c r="J798" s="19">
        <v>319</v>
      </c>
      <c r="K798" s="19">
        <v>50</v>
      </c>
      <c r="L798" s="21">
        <f t="shared" si="0"/>
        <v>68.493150684931507</v>
      </c>
      <c r="M798" s="19">
        <v>10</v>
      </c>
      <c r="N798" s="22">
        <f t="shared" si="1"/>
        <v>13.698630136986301</v>
      </c>
      <c r="O798" s="19">
        <v>8</v>
      </c>
      <c r="P798" s="22">
        <f t="shared" si="2"/>
        <v>80</v>
      </c>
      <c r="Q798" s="132" t="s">
        <v>158</v>
      </c>
      <c r="R798" s="132" t="str">
        <f t="shared" si="3"/>
        <v>X</v>
      </c>
      <c r="S798" s="133"/>
      <c r="T798" s="26" t="str">
        <f>IF('PL1(Full)'!$N798&gt;=20,"x",IF(AND('PL1(Full)'!$N798&gt;=15,'PL1(Full)'!$P798&gt;60),"x",""))</f>
        <v/>
      </c>
      <c r="U798" s="27" t="str">
        <f>IF(AND('PL1(Full)'!$H798="Thôn",'PL1(Full)'!$I798&lt;75),"x",IF(AND('PL1(Full)'!$H798="Tổ",'PL1(Full)'!$I798&lt;100),"x","-"))</f>
        <v>x</v>
      </c>
      <c r="V798" s="28" t="str">
        <f>IF(AND('PL1(Full)'!$H798="Thôn",'PL1(Full)'!$I798&lt;140),"x",IF(AND('PL1(Full)'!$H798="Tổ",'PL1(Full)'!$I798&lt;210),"x","-"))</f>
        <v>x</v>
      </c>
      <c r="W798" s="29" t="str">
        <f t="shared" si="148"/>
        <v>Loại 3</v>
      </c>
      <c r="X798" s="18"/>
    </row>
    <row r="799" spans="1:24" ht="15.75" customHeight="1">
      <c r="A799" s="30">
        <f>_xlfn.AGGREGATE(4,7,A$6:A798)+1</f>
        <v>580</v>
      </c>
      <c r="B799" s="66" t="str">
        <f t="shared" si="147"/>
        <v>H. Na Rì</v>
      </c>
      <c r="C799" s="33" t="str">
        <f t="shared" ref="C799:C810" si="155">C798</f>
        <v>X. Kim Lư</v>
      </c>
      <c r="D799" s="32"/>
      <c r="E799" s="32" t="s">
        <v>36</v>
      </c>
      <c r="F799" s="33" t="s">
        <v>882</v>
      </c>
      <c r="G799" s="32"/>
      <c r="H799" s="32" t="str">
        <f>IF(LEFT('PL1(Full)'!$F799,4)="Thôn","Thôn","Tổ")</f>
        <v>Thôn</v>
      </c>
      <c r="I799" s="35">
        <v>53</v>
      </c>
      <c r="J799" s="35">
        <v>205</v>
      </c>
      <c r="K799" s="35">
        <v>38</v>
      </c>
      <c r="L799" s="37">
        <f t="shared" si="0"/>
        <v>71.698113207547166</v>
      </c>
      <c r="M799" s="35">
        <v>6</v>
      </c>
      <c r="N799" s="38">
        <f t="shared" si="1"/>
        <v>11.320754716981131</v>
      </c>
      <c r="O799" s="35">
        <v>9</v>
      </c>
      <c r="P799" s="38">
        <f t="shared" si="2"/>
        <v>150</v>
      </c>
      <c r="Q799" s="134" t="s">
        <v>82</v>
      </c>
      <c r="R799" s="134" t="str">
        <f t="shared" si="3"/>
        <v>X</v>
      </c>
      <c r="S799" s="135"/>
      <c r="T799" s="34" t="str">
        <f>IF('PL1(Full)'!$N799&gt;=20,"x",IF(AND('PL1(Full)'!$N799&gt;=15,'PL1(Full)'!$P799&gt;60),"x",""))</f>
        <v/>
      </c>
      <c r="U799" s="34" t="str">
        <f>IF(AND('PL1(Full)'!$H799="Thôn",'PL1(Full)'!$I799&lt;75),"x",IF(AND('PL1(Full)'!$H799="Tổ",'PL1(Full)'!$I799&lt;100),"x","-"))</f>
        <v>x</v>
      </c>
      <c r="V799" s="34" t="str">
        <f>IF(AND('PL1(Full)'!$H799="Thôn",'PL1(Full)'!$I799&lt;140),"x",IF(AND('PL1(Full)'!$H799="Tổ",'PL1(Full)'!$I799&lt;210),"x","-"))</f>
        <v>x</v>
      </c>
      <c r="W799" s="40" t="str">
        <f t="shared" si="148"/>
        <v>Loại 3</v>
      </c>
      <c r="X799" s="32"/>
    </row>
    <row r="800" spans="1:24" ht="15.75" customHeight="1">
      <c r="A800" s="30">
        <f>_xlfn.AGGREGATE(4,7,A$6:A799)+1</f>
        <v>581</v>
      </c>
      <c r="B800" s="66" t="str">
        <f t="shared" si="147"/>
        <v>H. Na Rì</v>
      </c>
      <c r="C800" s="33" t="str">
        <f t="shared" si="155"/>
        <v>X. Kim Lư</v>
      </c>
      <c r="D800" s="32"/>
      <c r="E800" s="32" t="s">
        <v>36</v>
      </c>
      <c r="F800" s="33" t="s">
        <v>883</v>
      </c>
      <c r="G800" s="32"/>
      <c r="H800" s="32" t="str">
        <f>IF(LEFT('PL1(Full)'!$F800,4)="Thôn","Thôn","Tổ")</f>
        <v>Thôn</v>
      </c>
      <c r="I800" s="35">
        <v>56</v>
      </c>
      <c r="J800" s="35">
        <v>235</v>
      </c>
      <c r="K800" s="35">
        <v>50</v>
      </c>
      <c r="L800" s="37">
        <f t="shared" si="0"/>
        <v>89.285714285714292</v>
      </c>
      <c r="M800" s="35">
        <v>6</v>
      </c>
      <c r="N800" s="38">
        <f t="shared" si="1"/>
        <v>10.714285714285714</v>
      </c>
      <c r="O800" s="35">
        <v>5</v>
      </c>
      <c r="P800" s="38">
        <f t="shared" si="2"/>
        <v>83.333333333333329</v>
      </c>
      <c r="Q800" s="134" t="s">
        <v>884</v>
      </c>
      <c r="R800" s="134" t="str">
        <f t="shared" si="3"/>
        <v>X</v>
      </c>
      <c r="S800" s="135"/>
      <c r="T800" s="34" t="str">
        <f>IF('PL1(Full)'!$N800&gt;=20,"x",IF(AND('PL1(Full)'!$N800&gt;=15,'PL1(Full)'!$P800&gt;60),"x",""))</f>
        <v/>
      </c>
      <c r="U800" s="34" t="str">
        <f>IF(AND('PL1(Full)'!$H800="Thôn",'PL1(Full)'!$I800&lt;75),"x",IF(AND('PL1(Full)'!$H800="Tổ",'PL1(Full)'!$I800&lt;100),"x","-"))</f>
        <v>x</v>
      </c>
      <c r="V800" s="34" t="str">
        <f>IF(AND('PL1(Full)'!$H800="Thôn",'PL1(Full)'!$I800&lt;140),"x",IF(AND('PL1(Full)'!$H800="Tổ",'PL1(Full)'!$I800&lt;210),"x","-"))</f>
        <v>x</v>
      </c>
      <c r="W800" s="40" t="str">
        <f t="shared" si="148"/>
        <v>Loại 3</v>
      </c>
      <c r="X800" s="32"/>
    </row>
    <row r="801" spans="1:24" ht="15.75" customHeight="1">
      <c r="A801" s="30">
        <f>_xlfn.AGGREGATE(4,7,A$6:A800)+1</f>
        <v>582</v>
      </c>
      <c r="B801" s="66" t="str">
        <f t="shared" si="147"/>
        <v>H. Na Rì</v>
      </c>
      <c r="C801" s="33" t="str">
        <f t="shared" si="155"/>
        <v>X. Kim Lư</v>
      </c>
      <c r="D801" s="32"/>
      <c r="E801" s="32" t="s">
        <v>36</v>
      </c>
      <c r="F801" s="33" t="s">
        <v>885</v>
      </c>
      <c r="G801" s="32"/>
      <c r="H801" s="32" t="str">
        <f>IF(LEFT('PL1(Full)'!$F801,4)="Thôn","Thôn","Tổ")</f>
        <v>Thôn</v>
      </c>
      <c r="I801" s="35">
        <v>51</v>
      </c>
      <c r="J801" s="35">
        <v>206</v>
      </c>
      <c r="K801" s="35">
        <v>47</v>
      </c>
      <c r="L801" s="37">
        <f t="shared" si="0"/>
        <v>92.156862745098039</v>
      </c>
      <c r="M801" s="35">
        <v>6</v>
      </c>
      <c r="N801" s="38">
        <f t="shared" si="1"/>
        <v>11.764705882352942</v>
      </c>
      <c r="O801" s="35">
        <v>5</v>
      </c>
      <c r="P801" s="38">
        <f t="shared" si="2"/>
        <v>83.333333333333329</v>
      </c>
      <c r="Q801" s="134" t="s">
        <v>158</v>
      </c>
      <c r="R801" s="134" t="str">
        <f t="shared" si="3"/>
        <v>X</v>
      </c>
      <c r="S801" s="135"/>
      <c r="T801" s="34" t="str">
        <f>IF('PL1(Full)'!$N801&gt;=20,"x",IF(AND('PL1(Full)'!$N801&gt;=15,'PL1(Full)'!$P801&gt;60),"x",""))</f>
        <v/>
      </c>
      <c r="U801" s="34" t="str">
        <f>IF(AND('PL1(Full)'!$H801="Thôn",'PL1(Full)'!$I801&lt;75),"x",IF(AND('PL1(Full)'!$H801="Tổ",'PL1(Full)'!$I801&lt;100),"x","-"))</f>
        <v>x</v>
      </c>
      <c r="V801" s="34" t="str">
        <f>IF(AND('PL1(Full)'!$H801="Thôn",'PL1(Full)'!$I801&lt;140),"x",IF(AND('PL1(Full)'!$H801="Tổ",'PL1(Full)'!$I801&lt;210),"x","-"))</f>
        <v>x</v>
      </c>
      <c r="W801" s="40" t="str">
        <f t="shared" si="148"/>
        <v>Loại 3</v>
      </c>
      <c r="X801" s="32"/>
    </row>
    <row r="802" spans="1:24" ht="15.75" customHeight="1">
      <c r="A802" s="30">
        <f>_xlfn.AGGREGATE(4,7,A$6:A801)+1</f>
        <v>583</v>
      </c>
      <c r="B802" s="66" t="str">
        <f t="shared" si="147"/>
        <v>H. Na Rì</v>
      </c>
      <c r="C802" s="33" t="str">
        <f t="shared" si="155"/>
        <v>X. Kim Lư</v>
      </c>
      <c r="D802" s="32"/>
      <c r="E802" s="32" t="s">
        <v>36</v>
      </c>
      <c r="F802" s="33" t="s">
        <v>886</v>
      </c>
      <c r="G802" s="32"/>
      <c r="H802" s="32" t="str">
        <f>IF(LEFT('PL1(Full)'!$F802,4)="Thôn","Thôn","Tổ")</f>
        <v>Thôn</v>
      </c>
      <c r="I802" s="35">
        <v>58</v>
      </c>
      <c r="J802" s="35">
        <v>243</v>
      </c>
      <c r="K802" s="35">
        <v>58</v>
      </c>
      <c r="L802" s="37">
        <f t="shared" si="0"/>
        <v>100</v>
      </c>
      <c r="M802" s="35">
        <v>3</v>
      </c>
      <c r="N802" s="38">
        <f t="shared" si="1"/>
        <v>5.1724137931034484</v>
      </c>
      <c r="O802" s="35">
        <v>6</v>
      </c>
      <c r="P802" s="38">
        <f t="shared" si="2"/>
        <v>200</v>
      </c>
      <c r="Q802" s="134" t="s">
        <v>63</v>
      </c>
      <c r="R802" s="134" t="str">
        <f t="shared" si="3"/>
        <v>X</v>
      </c>
      <c r="S802" s="135"/>
      <c r="T802" s="34" t="str">
        <f>IF('PL1(Full)'!$N802&gt;=20,"x",IF(AND('PL1(Full)'!$N802&gt;=15,'PL1(Full)'!$P802&gt;60),"x",""))</f>
        <v/>
      </c>
      <c r="U802" s="34" t="str">
        <f>IF(AND('PL1(Full)'!$H802="Thôn",'PL1(Full)'!$I802&lt;75),"x",IF(AND('PL1(Full)'!$H802="Tổ",'PL1(Full)'!$I802&lt;100),"x","-"))</f>
        <v>x</v>
      </c>
      <c r="V802" s="34" t="str">
        <f>IF(AND('PL1(Full)'!$H802="Thôn",'PL1(Full)'!$I802&lt;140),"x",IF(AND('PL1(Full)'!$H802="Tổ",'PL1(Full)'!$I802&lt;210),"x","-"))</f>
        <v>x</v>
      </c>
      <c r="W802" s="40" t="str">
        <f t="shared" si="148"/>
        <v>Loại 3</v>
      </c>
      <c r="X802" s="32"/>
    </row>
    <row r="803" spans="1:24" ht="15.75" customHeight="1">
      <c r="A803" s="30">
        <f>_xlfn.AGGREGATE(4,7,A$6:A802)+1</f>
        <v>584</v>
      </c>
      <c r="B803" s="66" t="str">
        <f t="shared" si="147"/>
        <v>H. Na Rì</v>
      </c>
      <c r="C803" s="33" t="str">
        <f t="shared" si="155"/>
        <v>X. Kim Lư</v>
      </c>
      <c r="D803" s="32"/>
      <c r="E803" s="32" t="s">
        <v>36</v>
      </c>
      <c r="F803" s="33" t="s">
        <v>887</v>
      </c>
      <c r="G803" s="32"/>
      <c r="H803" s="32" t="str">
        <f>IF(LEFT('PL1(Full)'!$F803,4)="Thôn","Thôn","Tổ")</f>
        <v>Thôn</v>
      </c>
      <c r="I803" s="35">
        <v>15</v>
      </c>
      <c r="J803" s="35">
        <v>66</v>
      </c>
      <c r="K803" s="35">
        <v>15</v>
      </c>
      <c r="L803" s="37">
        <f t="shared" si="0"/>
        <v>100</v>
      </c>
      <c r="M803" s="35">
        <v>8</v>
      </c>
      <c r="N803" s="38">
        <f t="shared" si="1"/>
        <v>53.333333333333336</v>
      </c>
      <c r="O803" s="35">
        <v>7</v>
      </c>
      <c r="P803" s="38">
        <f t="shared" si="2"/>
        <v>87.5</v>
      </c>
      <c r="Q803" s="134" t="s">
        <v>63</v>
      </c>
      <c r="R803" s="134" t="str">
        <f t="shared" si="3"/>
        <v>X</v>
      </c>
      <c r="S803" s="135" t="s">
        <v>60</v>
      </c>
      <c r="T803" s="34" t="str">
        <f>IF('PL1(Full)'!$N803&gt;=20,"x",IF(AND('PL1(Full)'!$N803&gt;=15,'PL1(Full)'!$P803&gt;60),"x",""))</f>
        <v>x</v>
      </c>
      <c r="U803" s="34" t="str">
        <f>IF(AND('PL1(Full)'!$H803="Thôn",'PL1(Full)'!$I803&lt;75),"x",IF(AND('PL1(Full)'!$H803="Tổ",'PL1(Full)'!$I803&lt;100),"x","-"))</f>
        <v>x</v>
      </c>
      <c r="V803" s="34" t="str">
        <f>IF(AND('PL1(Full)'!$H803="Thôn",'PL1(Full)'!$I803&lt;140),"x",IF(AND('PL1(Full)'!$H803="Tổ",'PL1(Full)'!$I803&lt;210),"x","-"))</f>
        <v>x</v>
      </c>
      <c r="W803" s="40" t="str">
        <f t="shared" si="148"/>
        <v>Loại 3</v>
      </c>
      <c r="X803" s="32"/>
    </row>
    <row r="804" spans="1:24" ht="15.75" customHeight="1">
      <c r="A804" s="30">
        <f>_xlfn.AGGREGATE(4,7,A$6:A803)+1</f>
        <v>585</v>
      </c>
      <c r="B804" s="66" t="str">
        <f t="shared" si="147"/>
        <v>H. Na Rì</v>
      </c>
      <c r="C804" s="33" t="str">
        <f t="shared" si="155"/>
        <v>X. Kim Lư</v>
      </c>
      <c r="D804" s="32"/>
      <c r="E804" s="32" t="s">
        <v>36</v>
      </c>
      <c r="F804" s="33" t="s">
        <v>888</v>
      </c>
      <c r="G804" s="32"/>
      <c r="H804" s="32" t="str">
        <f>IF(LEFT('PL1(Full)'!$F804,4)="Thôn","Thôn","Tổ")</f>
        <v>Thôn</v>
      </c>
      <c r="I804" s="35">
        <v>45</v>
      </c>
      <c r="J804" s="35">
        <v>225</v>
      </c>
      <c r="K804" s="35">
        <v>45</v>
      </c>
      <c r="L804" s="37">
        <f t="shared" si="0"/>
        <v>100</v>
      </c>
      <c r="M804" s="35">
        <v>1</v>
      </c>
      <c r="N804" s="38">
        <f t="shared" si="1"/>
        <v>2.2222222222222223</v>
      </c>
      <c r="O804" s="35">
        <v>4</v>
      </c>
      <c r="P804" s="38">
        <f t="shared" si="2"/>
        <v>400</v>
      </c>
      <c r="Q804" s="134" t="s">
        <v>63</v>
      </c>
      <c r="R804" s="134" t="str">
        <f t="shared" si="3"/>
        <v>X</v>
      </c>
      <c r="S804" s="135"/>
      <c r="T804" s="34" t="str">
        <f>IF('PL1(Full)'!$N804&gt;=20,"x",IF(AND('PL1(Full)'!$N804&gt;=15,'PL1(Full)'!$P804&gt;60),"x",""))</f>
        <v/>
      </c>
      <c r="U804" s="34" t="str">
        <f>IF(AND('PL1(Full)'!$H804="Thôn",'PL1(Full)'!$I804&lt;75),"x",IF(AND('PL1(Full)'!$H804="Tổ",'PL1(Full)'!$I804&lt;100),"x","-"))</f>
        <v>x</v>
      </c>
      <c r="V804" s="34" t="str">
        <f>IF(AND('PL1(Full)'!$H804="Thôn",'PL1(Full)'!$I804&lt;140),"x",IF(AND('PL1(Full)'!$H804="Tổ",'PL1(Full)'!$I804&lt;210),"x","-"))</f>
        <v>x</v>
      </c>
      <c r="W804" s="40" t="str">
        <f t="shared" si="148"/>
        <v>Loại 3</v>
      </c>
      <c r="X804" s="32"/>
    </row>
    <row r="805" spans="1:24" ht="15.75" customHeight="1">
      <c r="A805" s="30">
        <f>_xlfn.AGGREGATE(4,7,A$6:A804)+1</f>
        <v>586</v>
      </c>
      <c r="B805" s="66" t="str">
        <f t="shared" si="147"/>
        <v>H. Na Rì</v>
      </c>
      <c r="C805" s="33" t="str">
        <f t="shared" si="155"/>
        <v>X. Kim Lư</v>
      </c>
      <c r="D805" s="32"/>
      <c r="E805" s="32" t="s">
        <v>36</v>
      </c>
      <c r="F805" s="33" t="s">
        <v>889</v>
      </c>
      <c r="G805" s="32"/>
      <c r="H805" s="32" t="str">
        <f>IF(LEFT('PL1(Full)'!$F805,4)="Thôn","Thôn","Tổ")</f>
        <v>Thôn</v>
      </c>
      <c r="I805" s="35">
        <v>39</v>
      </c>
      <c r="J805" s="35">
        <v>180</v>
      </c>
      <c r="K805" s="35">
        <v>33</v>
      </c>
      <c r="L805" s="37">
        <f t="shared" si="0"/>
        <v>84.615384615384613</v>
      </c>
      <c r="M805" s="35">
        <v>11</v>
      </c>
      <c r="N805" s="38">
        <f t="shared" si="1"/>
        <v>28.205128205128204</v>
      </c>
      <c r="O805" s="35">
        <v>2</v>
      </c>
      <c r="P805" s="38">
        <f t="shared" si="2"/>
        <v>18.181818181818183</v>
      </c>
      <c r="Q805" s="134" t="s">
        <v>82</v>
      </c>
      <c r="R805" s="134" t="str">
        <f t="shared" si="3"/>
        <v>X</v>
      </c>
      <c r="S805" s="135"/>
      <c r="T805" s="34" t="str">
        <f>IF('PL1(Full)'!$N805&gt;=20,"x",IF(AND('PL1(Full)'!$N805&gt;=15,'PL1(Full)'!$P805&gt;60),"x",""))</f>
        <v>x</v>
      </c>
      <c r="U805" s="34" t="str">
        <f>IF(AND('PL1(Full)'!$H805="Thôn",'PL1(Full)'!$I805&lt;75),"x",IF(AND('PL1(Full)'!$H805="Tổ",'PL1(Full)'!$I805&lt;100),"x","-"))</f>
        <v>x</v>
      </c>
      <c r="V805" s="34" t="str">
        <f>IF(AND('PL1(Full)'!$H805="Thôn",'PL1(Full)'!$I805&lt;140),"x",IF(AND('PL1(Full)'!$H805="Tổ",'PL1(Full)'!$I805&lt;210),"x","-"))</f>
        <v>x</v>
      </c>
      <c r="W805" s="40" t="str">
        <f t="shared" si="148"/>
        <v>Loại 3</v>
      </c>
      <c r="X805" s="32"/>
    </row>
    <row r="806" spans="1:24" ht="15.75" customHeight="1">
      <c r="A806" s="30">
        <f>_xlfn.AGGREGATE(4,7,A$6:A805)+1</f>
        <v>587</v>
      </c>
      <c r="B806" s="66" t="str">
        <f t="shared" si="147"/>
        <v>H. Na Rì</v>
      </c>
      <c r="C806" s="33" t="str">
        <f t="shared" si="155"/>
        <v>X. Kim Lư</v>
      </c>
      <c r="D806" s="32"/>
      <c r="E806" s="32" t="s">
        <v>36</v>
      </c>
      <c r="F806" s="33" t="s">
        <v>850</v>
      </c>
      <c r="G806" s="32"/>
      <c r="H806" s="32" t="str">
        <f>IF(LEFT('PL1(Full)'!$F806,4)="Thôn","Thôn","Tổ")</f>
        <v>Thôn</v>
      </c>
      <c r="I806" s="35">
        <v>25</v>
      </c>
      <c r="J806" s="35">
        <v>102</v>
      </c>
      <c r="K806" s="35">
        <v>24</v>
      </c>
      <c r="L806" s="37">
        <f t="shared" si="0"/>
        <v>96</v>
      </c>
      <c r="M806" s="35">
        <v>4</v>
      </c>
      <c r="N806" s="38">
        <f t="shared" si="1"/>
        <v>16</v>
      </c>
      <c r="O806" s="35">
        <v>4</v>
      </c>
      <c r="P806" s="38">
        <f t="shared" si="2"/>
        <v>100</v>
      </c>
      <c r="Q806" s="134" t="s">
        <v>63</v>
      </c>
      <c r="R806" s="134" t="str">
        <f t="shared" si="3"/>
        <v>X</v>
      </c>
      <c r="S806" s="135"/>
      <c r="T806" s="34" t="str">
        <f>IF('PL1(Full)'!$N806&gt;=20,"x",IF(AND('PL1(Full)'!$N806&gt;=15,'PL1(Full)'!$P806&gt;60),"x",""))</f>
        <v>x</v>
      </c>
      <c r="U806" s="34" t="str">
        <f>IF(AND('PL1(Full)'!$H806="Thôn",'PL1(Full)'!$I806&lt;75),"x",IF(AND('PL1(Full)'!$H806="Tổ",'PL1(Full)'!$I806&lt;100),"x","-"))</f>
        <v>x</v>
      </c>
      <c r="V806" s="34" t="str">
        <f>IF(AND('PL1(Full)'!$H806="Thôn",'PL1(Full)'!$I806&lt;140),"x",IF(AND('PL1(Full)'!$H806="Tổ",'PL1(Full)'!$I806&lt;210),"x","-"))</f>
        <v>x</v>
      </c>
      <c r="W806" s="40" t="str">
        <f t="shared" si="148"/>
        <v>Loại 3</v>
      </c>
      <c r="X806" s="32"/>
    </row>
    <row r="807" spans="1:24" ht="15.75" customHeight="1">
      <c r="A807" s="30">
        <f>_xlfn.AGGREGATE(4,7,A$6:A806)+1</f>
        <v>588</v>
      </c>
      <c r="B807" s="66" t="str">
        <f t="shared" si="147"/>
        <v>H. Na Rì</v>
      </c>
      <c r="C807" s="33" t="str">
        <f t="shared" si="155"/>
        <v>X. Kim Lư</v>
      </c>
      <c r="D807" s="32"/>
      <c r="E807" s="32" t="s">
        <v>36</v>
      </c>
      <c r="F807" s="33" t="s">
        <v>755</v>
      </c>
      <c r="G807" s="32"/>
      <c r="H807" s="32" t="str">
        <f>IF(LEFT('PL1(Full)'!$F807,4)="Thôn","Thôn","Tổ")</f>
        <v>Thôn</v>
      </c>
      <c r="I807" s="35">
        <v>43</v>
      </c>
      <c r="J807" s="35">
        <v>208</v>
      </c>
      <c r="K807" s="35">
        <v>42</v>
      </c>
      <c r="L807" s="37">
        <f t="shared" si="0"/>
        <v>97.674418604651166</v>
      </c>
      <c r="M807" s="35">
        <v>6</v>
      </c>
      <c r="N807" s="38">
        <f t="shared" si="1"/>
        <v>13.953488372093023</v>
      </c>
      <c r="O807" s="35">
        <v>4</v>
      </c>
      <c r="P807" s="38">
        <f t="shared" si="2"/>
        <v>66.666666666666671</v>
      </c>
      <c r="Q807" s="134" t="s">
        <v>63</v>
      </c>
      <c r="R807" s="134" t="str">
        <f t="shared" si="3"/>
        <v>X</v>
      </c>
      <c r="S807" s="135"/>
      <c r="T807" s="34" t="str">
        <f>IF('PL1(Full)'!$N807&gt;=20,"x",IF(AND('PL1(Full)'!$N807&gt;=15,'PL1(Full)'!$P807&gt;60),"x",""))</f>
        <v/>
      </c>
      <c r="U807" s="34" t="str">
        <f>IF(AND('PL1(Full)'!$H807="Thôn",'PL1(Full)'!$I807&lt;75),"x",IF(AND('PL1(Full)'!$H807="Tổ",'PL1(Full)'!$I807&lt;100),"x","-"))</f>
        <v>x</v>
      </c>
      <c r="V807" s="34" t="str">
        <f>IF(AND('PL1(Full)'!$H807="Thôn",'PL1(Full)'!$I807&lt;140),"x",IF(AND('PL1(Full)'!$H807="Tổ",'PL1(Full)'!$I807&lt;210),"x","-"))</f>
        <v>x</v>
      </c>
      <c r="W807" s="40" t="str">
        <f t="shared" si="148"/>
        <v>Loại 3</v>
      </c>
      <c r="X807" s="32"/>
    </row>
    <row r="808" spans="1:24" ht="15.75" customHeight="1">
      <c r="A808" s="30">
        <f>_xlfn.AGGREGATE(4,7,A$6:A807)+1</f>
        <v>589</v>
      </c>
      <c r="B808" s="66" t="str">
        <f t="shared" si="147"/>
        <v>H. Na Rì</v>
      </c>
      <c r="C808" s="33" t="str">
        <f t="shared" si="155"/>
        <v>X. Kim Lư</v>
      </c>
      <c r="D808" s="32"/>
      <c r="E808" s="32" t="s">
        <v>36</v>
      </c>
      <c r="F808" s="33" t="s">
        <v>257</v>
      </c>
      <c r="G808" s="32"/>
      <c r="H808" s="32" t="str">
        <f>IF(LEFT('PL1(Full)'!$F808,4)="Thôn","Thôn","Tổ")</f>
        <v>Thôn</v>
      </c>
      <c r="I808" s="35">
        <v>53</v>
      </c>
      <c r="J808" s="35">
        <v>218</v>
      </c>
      <c r="K808" s="35">
        <v>48</v>
      </c>
      <c r="L808" s="37">
        <f t="shared" si="0"/>
        <v>90.566037735849051</v>
      </c>
      <c r="M808" s="35">
        <v>9</v>
      </c>
      <c r="N808" s="38">
        <f t="shared" si="1"/>
        <v>16.981132075471699</v>
      </c>
      <c r="O808" s="35">
        <v>11</v>
      </c>
      <c r="P808" s="38">
        <f t="shared" si="2"/>
        <v>122.22222222222223</v>
      </c>
      <c r="Q808" s="134" t="s">
        <v>63</v>
      </c>
      <c r="R808" s="134" t="str">
        <f t="shared" si="3"/>
        <v>X</v>
      </c>
      <c r="S808" s="135"/>
      <c r="T808" s="34" t="str">
        <f>IF('PL1(Full)'!$N808&gt;=20,"x",IF(AND('PL1(Full)'!$N808&gt;=15,'PL1(Full)'!$P808&gt;60),"x",""))</f>
        <v>x</v>
      </c>
      <c r="U808" s="34" t="str">
        <f>IF(AND('PL1(Full)'!$H808="Thôn",'PL1(Full)'!$I808&lt;75),"x",IF(AND('PL1(Full)'!$H808="Tổ",'PL1(Full)'!$I808&lt;100),"x","-"))</f>
        <v>x</v>
      </c>
      <c r="V808" s="34" t="str">
        <f>IF(AND('PL1(Full)'!$H808="Thôn",'PL1(Full)'!$I808&lt;140),"x",IF(AND('PL1(Full)'!$H808="Tổ",'PL1(Full)'!$I808&lt;210),"x","-"))</f>
        <v>x</v>
      </c>
      <c r="W808" s="40" t="str">
        <f t="shared" si="148"/>
        <v>Loại 3</v>
      </c>
      <c r="X808" s="32"/>
    </row>
    <row r="809" spans="1:24" ht="15.75" customHeight="1">
      <c r="A809" s="30">
        <f>_xlfn.AGGREGATE(4,7,A$6:A808)+1</f>
        <v>590</v>
      </c>
      <c r="B809" s="66" t="str">
        <f t="shared" si="147"/>
        <v>H. Na Rì</v>
      </c>
      <c r="C809" s="33" t="str">
        <f t="shared" si="155"/>
        <v>X. Kim Lư</v>
      </c>
      <c r="D809" s="32"/>
      <c r="E809" s="32" t="s">
        <v>36</v>
      </c>
      <c r="F809" s="33" t="s">
        <v>890</v>
      </c>
      <c r="G809" s="32"/>
      <c r="H809" s="32" t="str">
        <f>IF(LEFT('PL1(Full)'!$F809,4)="Thôn","Thôn","Tổ")</f>
        <v>Thôn</v>
      </c>
      <c r="I809" s="35">
        <v>57</v>
      </c>
      <c r="J809" s="35">
        <v>252</v>
      </c>
      <c r="K809" s="35">
        <v>50</v>
      </c>
      <c r="L809" s="37">
        <f t="shared" si="0"/>
        <v>87.719298245614041</v>
      </c>
      <c r="M809" s="35">
        <v>3</v>
      </c>
      <c r="N809" s="38">
        <f t="shared" si="1"/>
        <v>5.2631578947368425</v>
      </c>
      <c r="O809" s="35">
        <v>3</v>
      </c>
      <c r="P809" s="38">
        <f t="shared" si="2"/>
        <v>100</v>
      </c>
      <c r="Q809" s="134" t="s">
        <v>82</v>
      </c>
      <c r="R809" s="134" t="str">
        <f t="shared" si="3"/>
        <v>X</v>
      </c>
      <c r="S809" s="135"/>
      <c r="T809" s="34" t="str">
        <f>IF('PL1(Full)'!$N809&gt;=20,"x",IF(AND('PL1(Full)'!$N809&gt;=15,'PL1(Full)'!$P809&gt;60),"x",""))</f>
        <v/>
      </c>
      <c r="U809" s="34" t="str">
        <f>IF(AND('PL1(Full)'!$H809="Thôn",'PL1(Full)'!$I809&lt;75),"x",IF(AND('PL1(Full)'!$H809="Tổ",'PL1(Full)'!$I809&lt;100),"x","-"))</f>
        <v>x</v>
      </c>
      <c r="V809" s="34" t="str">
        <f>IF(AND('PL1(Full)'!$H809="Thôn",'PL1(Full)'!$I809&lt;140),"x",IF(AND('PL1(Full)'!$H809="Tổ",'PL1(Full)'!$I809&lt;210),"x","-"))</f>
        <v>x</v>
      </c>
      <c r="W809" s="40" t="str">
        <f t="shared" si="148"/>
        <v>Loại 3</v>
      </c>
      <c r="X809" s="32"/>
    </row>
    <row r="810" spans="1:24" ht="15.75" customHeight="1">
      <c r="A810" s="41">
        <f>_xlfn.AGGREGATE(4,7,A$6:A809)+1</f>
        <v>591</v>
      </c>
      <c r="B810" s="67" t="str">
        <f t="shared" si="147"/>
        <v>H. Na Rì</v>
      </c>
      <c r="C810" s="44" t="str">
        <f t="shared" si="155"/>
        <v>X. Kim Lư</v>
      </c>
      <c r="D810" s="43"/>
      <c r="E810" s="43" t="s">
        <v>36</v>
      </c>
      <c r="F810" s="44" t="s">
        <v>891</v>
      </c>
      <c r="G810" s="43"/>
      <c r="H810" s="43" t="str">
        <f>IF(LEFT('PL1(Full)'!$F810,4)="Thôn","Thôn","Tổ")</f>
        <v>Thôn</v>
      </c>
      <c r="I810" s="45">
        <v>60</v>
      </c>
      <c r="J810" s="45">
        <v>307</v>
      </c>
      <c r="K810" s="45">
        <v>60</v>
      </c>
      <c r="L810" s="47">
        <f t="shared" si="0"/>
        <v>100</v>
      </c>
      <c r="M810" s="45">
        <v>4</v>
      </c>
      <c r="N810" s="48">
        <f t="shared" si="1"/>
        <v>6.666666666666667</v>
      </c>
      <c r="O810" s="45">
        <v>4</v>
      </c>
      <c r="P810" s="48">
        <f t="shared" si="2"/>
        <v>100</v>
      </c>
      <c r="Q810" s="136" t="s">
        <v>82</v>
      </c>
      <c r="R810" s="136" t="str">
        <f t="shared" si="3"/>
        <v>X</v>
      </c>
      <c r="S810" s="137"/>
      <c r="T810" s="50" t="str">
        <f>IF('PL1(Full)'!$N810&gt;=20,"x",IF(AND('PL1(Full)'!$N810&gt;=15,'PL1(Full)'!$P810&gt;60),"x",""))</f>
        <v/>
      </c>
      <c r="U810" s="50" t="str">
        <f>IF(AND('PL1(Full)'!$H810="Thôn",'PL1(Full)'!$I810&lt;75),"x",IF(AND('PL1(Full)'!$H810="Tổ",'PL1(Full)'!$I810&lt;100),"x","-"))</f>
        <v>x</v>
      </c>
      <c r="V810" s="34" t="str">
        <f>IF(AND('PL1(Full)'!$H810="Thôn",'PL1(Full)'!$I810&lt;140),"x",IF(AND('PL1(Full)'!$H810="Tổ",'PL1(Full)'!$I810&lt;210),"x","-"))</f>
        <v>x</v>
      </c>
      <c r="W810" s="51" t="str">
        <f t="shared" si="148"/>
        <v>Loại 3</v>
      </c>
      <c r="X810" s="43"/>
    </row>
    <row r="811" spans="1:24" ht="15.75" customHeight="1">
      <c r="A811" s="52">
        <f>_xlfn.AGGREGATE(4,7,A$6:A810)+1</f>
        <v>592</v>
      </c>
      <c r="B811" s="65" t="str">
        <f t="shared" si="147"/>
        <v>H. Na Rì</v>
      </c>
      <c r="C811" s="14" t="s">
        <v>892</v>
      </c>
      <c r="D811" s="15" t="s">
        <v>58</v>
      </c>
      <c r="E811" s="16" t="s">
        <v>58</v>
      </c>
      <c r="F811" s="17" t="s">
        <v>75</v>
      </c>
      <c r="G811" s="18"/>
      <c r="H811" s="18" t="str">
        <f>IF(LEFT('PL1(Full)'!$F811,4)="Thôn","Thôn","Tổ")</f>
        <v>Thôn</v>
      </c>
      <c r="I811" s="19">
        <v>58</v>
      </c>
      <c r="J811" s="19">
        <v>300</v>
      </c>
      <c r="K811" s="19">
        <v>58</v>
      </c>
      <c r="L811" s="21">
        <f t="shared" si="0"/>
        <v>100</v>
      </c>
      <c r="M811" s="19">
        <v>8</v>
      </c>
      <c r="N811" s="22">
        <f t="shared" si="1"/>
        <v>13.793103448275861</v>
      </c>
      <c r="O811" s="19">
        <v>8</v>
      </c>
      <c r="P811" s="22">
        <f t="shared" si="2"/>
        <v>100</v>
      </c>
      <c r="Q811" s="132" t="s">
        <v>56</v>
      </c>
      <c r="R811" s="132" t="str">
        <f t="shared" si="3"/>
        <v>X</v>
      </c>
      <c r="S811" s="133"/>
      <c r="T811" s="26" t="str">
        <f>IF('PL1(Full)'!$N811&gt;=20,"x",IF(AND('PL1(Full)'!$N811&gt;=15,'PL1(Full)'!$P811&gt;60),"x",""))</f>
        <v/>
      </c>
      <c r="U811" s="27" t="str">
        <f>IF(AND('PL1(Full)'!$H811="Thôn",'PL1(Full)'!$I811&lt;75),"x",IF(AND('PL1(Full)'!$H811="Tổ",'PL1(Full)'!$I811&lt;100),"x","-"))</f>
        <v>x</v>
      </c>
      <c r="V811" s="28" t="str">
        <f>IF(AND('PL1(Full)'!$H811="Thôn",'PL1(Full)'!$I811&lt;140),"x",IF(AND('PL1(Full)'!$H811="Tổ",'PL1(Full)'!$I811&lt;210),"x","-"))</f>
        <v>x</v>
      </c>
      <c r="W811" s="29" t="str">
        <f t="shared" si="148"/>
        <v>Loại 3</v>
      </c>
      <c r="X811" s="18"/>
    </row>
    <row r="812" spans="1:24" ht="15.75" customHeight="1">
      <c r="A812" s="30">
        <f>_xlfn.AGGREGATE(4,7,A$6:A811)+1</f>
        <v>593</v>
      </c>
      <c r="B812" s="66" t="str">
        <f t="shared" si="147"/>
        <v>H. Na Rì</v>
      </c>
      <c r="C812" s="33" t="str">
        <f t="shared" ref="C812:C816" si="156">C811</f>
        <v>X. Liêm Thủy</v>
      </c>
      <c r="D812" s="32"/>
      <c r="E812" s="32" t="s">
        <v>58</v>
      </c>
      <c r="F812" s="33" t="s">
        <v>893</v>
      </c>
      <c r="G812" s="32"/>
      <c r="H812" s="32" t="str">
        <f>IF(LEFT('PL1(Full)'!$F812,4)="Thôn","Thôn","Tổ")</f>
        <v>Thôn</v>
      </c>
      <c r="I812" s="35">
        <v>29</v>
      </c>
      <c r="J812" s="35">
        <v>136</v>
      </c>
      <c r="K812" s="35">
        <v>29</v>
      </c>
      <c r="L812" s="37">
        <f t="shared" si="0"/>
        <v>100</v>
      </c>
      <c r="M812" s="35">
        <v>8</v>
      </c>
      <c r="N812" s="38">
        <f t="shared" si="1"/>
        <v>27.586206896551722</v>
      </c>
      <c r="O812" s="35">
        <v>8</v>
      </c>
      <c r="P812" s="38">
        <f t="shared" si="2"/>
        <v>100</v>
      </c>
      <c r="Q812" s="134" t="s">
        <v>63</v>
      </c>
      <c r="R812" s="134" t="str">
        <f t="shared" si="3"/>
        <v>X</v>
      </c>
      <c r="S812" s="135" t="s">
        <v>60</v>
      </c>
      <c r="T812" s="34" t="str">
        <f>IF('PL1(Full)'!$N812&gt;=20,"x",IF(AND('PL1(Full)'!$N812&gt;=15,'PL1(Full)'!$P812&gt;60),"x",""))</f>
        <v>x</v>
      </c>
      <c r="U812" s="34" t="str">
        <f>IF(AND('PL1(Full)'!$H812="Thôn",'PL1(Full)'!$I812&lt;75),"x",IF(AND('PL1(Full)'!$H812="Tổ",'PL1(Full)'!$I812&lt;100),"x","-"))</f>
        <v>x</v>
      </c>
      <c r="V812" s="34" t="str">
        <f>IF(AND('PL1(Full)'!$H812="Thôn",'PL1(Full)'!$I812&lt;140),"x",IF(AND('PL1(Full)'!$H812="Tổ",'PL1(Full)'!$I812&lt;210),"x","-"))</f>
        <v>x</v>
      </c>
      <c r="W812" s="40" t="str">
        <f t="shared" si="148"/>
        <v>Loại 3</v>
      </c>
      <c r="X812" s="32"/>
    </row>
    <row r="813" spans="1:24" ht="15.75" customHeight="1">
      <c r="A813" s="30">
        <f>_xlfn.AGGREGATE(4,7,A$6:A812)+1</f>
        <v>594</v>
      </c>
      <c r="B813" s="66" t="str">
        <f t="shared" si="147"/>
        <v>H. Na Rì</v>
      </c>
      <c r="C813" s="33" t="str">
        <f t="shared" si="156"/>
        <v>X. Liêm Thủy</v>
      </c>
      <c r="D813" s="32"/>
      <c r="E813" s="32" t="s">
        <v>58</v>
      </c>
      <c r="F813" s="33" t="s">
        <v>894</v>
      </c>
      <c r="G813" s="32"/>
      <c r="H813" s="32" t="str">
        <f>IF(LEFT('PL1(Full)'!$F813,4)="Thôn","Thôn","Tổ")</f>
        <v>Thôn</v>
      </c>
      <c r="I813" s="35">
        <v>42</v>
      </c>
      <c r="J813" s="35">
        <v>180</v>
      </c>
      <c r="K813" s="35">
        <v>42</v>
      </c>
      <c r="L813" s="37">
        <f t="shared" si="0"/>
        <v>100</v>
      </c>
      <c r="M813" s="35">
        <v>19</v>
      </c>
      <c r="N813" s="38">
        <f t="shared" si="1"/>
        <v>45.238095238095241</v>
      </c>
      <c r="O813" s="35">
        <v>19</v>
      </c>
      <c r="P813" s="38">
        <f t="shared" si="2"/>
        <v>100</v>
      </c>
      <c r="Q813" s="134" t="s">
        <v>63</v>
      </c>
      <c r="R813" s="134" t="str">
        <f t="shared" si="3"/>
        <v>X</v>
      </c>
      <c r="S813" s="135" t="s">
        <v>60</v>
      </c>
      <c r="T813" s="34" t="str">
        <f>IF('PL1(Full)'!$N813&gt;=20,"x",IF(AND('PL1(Full)'!$N813&gt;=15,'PL1(Full)'!$P813&gt;60),"x",""))</f>
        <v>x</v>
      </c>
      <c r="U813" s="34" t="str">
        <f>IF(AND('PL1(Full)'!$H813="Thôn",'PL1(Full)'!$I813&lt;75),"x",IF(AND('PL1(Full)'!$H813="Tổ",'PL1(Full)'!$I813&lt;100),"x","-"))</f>
        <v>x</v>
      </c>
      <c r="V813" s="34" t="str">
        <f>IF(AND('PL1(Full)'!$H813="Thôn",'PL1(Full)'!$I813&lt;140),"x",IF(AND('PL1(Full)'!$H813="Tổ",'PL1(Full)'!$I813&lt;210),"x","-"))</f>
        <v>x</v>
      </c>
      <c r="W813" s="40" t="str">
        <f t="shared" si="148"/>
        <v>Loại 3</v>
      </c>
      <c r="X813" s="32"/>
    </row>
    <row r="814" spans="1:24" ht="15.75" customHeight="1">
      <c r="A814" s="30">
        <f>_xlfn.AGGREGATE(4,7,A$6:A813)+1</f>
        <v>595</v>
      </c>
      <c r="B814" s="66" t="str">
        <f t="shared" si="147"/>
        <v>H. Na Rì</v>
      </c>
      <c r="C814" s="33" t="str">
        <f t="shared" si="156"/>
        <v>X. Liêm Thủy</v>
      </c>
      <c r="D814" s="32"/>
      <c r="E814" s="32" t="s">
        <v>58</v>
      </c>
      <c r="F814" s="33" t="s">
        <v>895</v>
      </c>
      <c r="G814" s="32"/>
      <c r="H814" s="32" t="str">
        <f>IF(LEFT('PL1(Full)'!$F814,4)="Thôn","Thôn","Tổ")</f>
        <v>Thôn</v>
      </c>
      <c r="I814" s="35">
        <v>55</v>
      </c>
      <c r="J814" s="35">
        <v>239</v>
      </c>
      <c r="K814" s="35">
        <v>55</v>
      </c>
      <c r="L814" s="37">
        <f t="shared" si="0"/>
        <v>100</v>
      </c>
      <c r="M814" s="35">
        <v>38</v>
      </c>
      <c r="N814" s="38">
        <f t="shared" si="1"/>
        <v>69.090909090909093</v>
      </c>
      <c r="O814" s="35">
        <v>38</v>
      </c>
      <c r="P814" s="38">
        <f t="shared" si="2"/>
        <v>100</v>
      </c>
      <c r="Q814" s="134" t="s">
        <v>56</v>
      </c>
      <c r="R814" s="134" t="str">
        <f t="shared" si="3"/>
        <v>X</v>
      </c>
      <c r="S814" s="135" t="s">
        <v>60</v>
      </c>
      <c r="T814" s="34" t="str">
        <f>IF('PL1(Full)'!$N814&gt;=20,"x",IF(AND('PL1(Full)'!$N814&gt;=15,'PL1(Full)'!$P814&gt;60),"x",""))</f>
        <v>x</v>
      </c>
      <c r="U814" s="34" t="str">
        <f>IF(AND('PL1(Full)'!$H814="Thôn",'PL1(Full)'!$I814&lt;75),"x",IF(AND('PL1(Full)'!$H814="Tổ",'PL1(Full)'!$I814&lt;100),"x","-"))</f>
        <v>x</v>
      </c>
      <c r="V814" s="34" t="str">
        <f>IF(AND('PL1(Full)'!$H814="Thôn",'PL1(Full)'!$I814&lt;140),"x",IF(AND('PL1(Full)'!$H814="Tổ",'PL1(Full)'!$I814&lt;210),"x","-"))</f>
        <v>x</v>
      </c>
      <c r="W814" s="40" t="str">
        <f t="shared" si="148"/>
        <v>Loại 3</v>
      </c>
      <c r="X814" s="32"/>
    </row>
    <row r="815" spans="1:24" ht="15.75" customHeight="1">
      <c r="A815" s="30">
        <f>_xlfn.AGGREGATE(4,7,A$6:A814)+1</f>
        <v>596</v>
      </c>
      <c r="B815" s="66" t="str">
        <f t="shared" si="147"/>
        <v>H. Na Rì</v>
      </c>
      <c r="C815" s="33" t="str">
        <f t="shared" si="156"/>
        <v>X. Liêm Thủy</v>
      </c>
      <c r="D815" s="32"/>
      <c r="E815" s="32" t="s">
        <v>58</v>
      </c>
      <c r="F815" s="33" t="s">
        <v>896</v>
      </c>
      <c r="G815" s="32"/>
      <c r="H815" s="32" t="str">
        <f>IF(LEFT('PL1(Full)'!$F815,4)="Thôn","Thôn","Tổ")</f>
        <v>Thôn</v>
      </c>
      <c r="I815" s="35">
        <v>57</v>
      </c>
      <c r="J815" s="35">
        <v>264</v>
      </c>
      <c r="K815" s="35">
        <v>57</v>
      </c>
      <c r="L815" s="37">
        <f t="shared" si="0"/>
        <v>100</v>
      </c>
      <c r="M815" s="35">
        <v>16</v>
      </c>
      <c r="N815" s="38">
        <f t="shared" si="1"/>
        <v>28.07017543859649</v>
      </c>
      <c r="O815" s="35">
        <v>16</v>
      </c>
      <c r="P815" s="38">
        <f t="shared" si="2"/>
        <v>100</v>
      </c>
      <c r="Q815" s="134" t="s">
        <v>63</v>
      </c>
      <c r="R815" s="134" t="str">
        <f t="shared" si="3"/>
        <v>X</v>
      </c>
      <c r="S815" s="135"/>
      <c r="T815" s="34" t="str">
        <f>IF('PL1(Full)'!$N815&gt;=20,"x",IF(AND('PL1(Full)'!$N815&gt;=15,'PL1(Full)'!$P815&gt;60),"x",""))</f>
        <v>x</v>
      </c>
      <c r="U815" s="34" t="str">
        <f>IF(AND('PL1(Full)'!$H815="Thôn",'PL1(Full)'!$I815&lt;75),"x",IF(AND('PL1(Full)'!$H815="Tổ",'PL1(Full)'!$I815&lt;100),"x","-"))</f>
        <v>x</v>
      </c>
      <c r="V815" s="34" t="str">
        <f>IF(AND('PL1(Full)'!$H815="Thôn",'PL1(Full)'!$I815&lt;140),"x",IF(AND('PL1(Full)'!$H815="Tổ",'PL1(Full)'!$I815&lt;210),"x","-"))</f>
        <v>x</v>
      </c>
      <c r="W815" s="40" t="str">
        <f t="shared" si="148"/>
        <v>Loại 3</v>
      </c>
      <c r="X815" s="32"/>
    </row>
    <row r="816" spans="1:24" ht="15.75" customHeight="1">
      <c r="A816" s="41">
        <f>_xlfn.AGGREGATE(4,7,A$6:A815)+1</f>
        <v>597</v>
      </c>
      <c r="B816" s="67" t="str">
        <f t="shared" si="147"/>
        <v>H. Na Rì</v>
      </c>
      <c r="C816" s="44" t="str">
        <f t="shared" si="156"/>
        <v>X. Liêm Thủy</v>
      </c>
      <c r="D816" s="43"/>
      <c r="E816" s="43" t="s">
        <v>58</v>
      </c>
      <c r="F816" s="44" t="s">
        <v>897</v>
      </c>
      <c r="G816" s="43"/>
      <c r="H816" s="43" t="str">
        <f>IF(LEFT('PL1(Full)'!$F816,4)="Thôn","Thôn","Tổ")</f>
        <v>Thôn</v>
      </c>
      <c r="I816" s="45">
        <v>70</v>
      </c>
      <c r="J816" s="45">
        <v>329</v>
      </c>
      <c r="K816" s="45">
        <v>70</v>
      </c>
      <c r="L816" s="47">
        <f t="shared" si="0"/>
        <v>100</v>
      </c>
      <c r="M816" s="45">
        <v>37</v>
      </c>
      <c r="N816" s="48">
        <f t="shared" si="1"/>
        <v>52.857142857142854</v>
      </c>
      <c r="O816" s="45">
        <v>37</v>
      </c>
      <c r="P816" s="48">
        <f t="shared" si="2"/>
        <v>100</v>
      </c>
      <c r="Q816" s="136" t="s">
        <v>63</v>
      </c>
      <c r="R816" s="136" t="str">
        <f t="shared" si="3"/>
        <v>X</v>
      </c>
      <c r="S816" s="137" t="s">
        <v>60</v>
      </c>
      <c r="T816" s="50" t="str">
        <f>IF('PL1(Full)'!$N816&gt;=20,"x",IF(AND('PL1(Full)'!$N816&gt;=15,'PL1(Full)'!$P816&gt;60),"x",""))</f>
        <v>x</v>
      </c>
      <c r="U816" s="50" t="str">
        <f>IF(AND('PL1(Full)'!$H816="Thôn",'PL1(Full)'!$I816&lt;75),"x",IF(AND('PL1(Full)'!$H816="Tổ",'PL1(Full)'!$I816&lt;100),"x","-"))</f>
        <v>x</v>
      </c>
      <c r="V816" s="34" t="str">
        <f>IF(AND('PL1(Full)'!$H816="Thôn",'PL1(Full)'!$I816&lt;140),"x",IF(AND('PL1(Full)'!$H816="Tổ",'PL1(Full)'!$I816&lt;210),"x","-"))</f>
        <v>x</v>
      </c>
      <c r="W816" s="51" t="str">
        <f t="shared" si="148"/>
        <v>Loại 3</v>
      </c>
      <c r="X816" s="43"/>
    </row>
    <row r="817" spans="1:24" ht="15.75" hidden="1" customHeight="1">
      <c r="A817" s="52">
        <f>_xlfn.AGGREGATE(4,7,A$6:A816)+1</f>
        <v>598</v>
      </c>
      <c r="B817" s="65" t="str">
        <f t="shared" si="147"/>
        <v>H. Na Rì</v>
      </c>
      <c r="C817" s="14" t="s">
        <v>898</v>
      </c>
      <c r="D817" s="15" t="s">
        <v>58</v>
      </c>
      <c r="E817" s="16" t="s">
        <v>58</v>
      </c>
      <c r="F817" s="17" t="s">
        <v>899</v>
      </c>
      <c r="G817" s="18"/>
      <c r="H817" s="18" t="str">
        <f>IF(LEFT('PL1(Full)'!$F817,4)="Thôn","Thôn","Tổ")</f>
        <v>Thôn</v>
      </c>
      <c r="I817" s="19">
        <v>81</v>
      </c>
      <c r="J817" s="19">
        <v>365</v>
      </c>
      <c r="K817" s="19">
        <v>71</v>
      </c>
      <c r="L817" s="21">
        <f t="shared" si="0"/>
        <v>87.654320987654316</v>
      </c>
      <c r="M817" s="19">
        <v>13</v>
      </c>
      <c r="N817" s="22">
        <f t="shared" si="1"/>
        <v>16.049382716049383</v>
      </c>
      <c r="O817" s="19">
        <v>11</v>
      </c>
      <c r="P817" s="22">
        <f t="shared" si="2"/>
        <v>84.615384615384613</v>
      </c>
      <c r="Q817" s="132" t="s">
        <v>56</v>
      </c>
      <c r="R817" s="132" t="str">
        <f t="shared" si="3"/>
        <v>X</v>
      </c>
      <c r="S817" s="133" t="s">
        <v>60</v>
      </c>
      <c r="T817" s="26" t="str">
        <f>IF('PL1(Full)'!$N817&gt;=20,"x",IF(AND('PL1(Full)'!$N817&gt;=15,'PL1(Full)'!$P817&gt;60),"x",""))</f>
        <v>x</v>
      </c>
      <c r="U817" s="27" t="str">
        <f>IF(AND('PL1(Full)'!$H817="Thôn",'PL1(Full)'!$I817&lt;75),"x",IF(AND('PL1(Full)'!$H817="Tổ",'PL1(Full)'!$I817&lt;100),"x","-"))</f>
        <v>-</v>
      </c>
      <c r="V817" s="28" t="str">
        <f>IF(AND('PL1(Full)'!$H817="Thôn",'PL1(Full)'!$I817&lt;140),"x",IF(AND('PL1(Full)'!$H817="Tổ",'PL1(Full)'!$I817&lt;210),"x","-"))</f>
        <v>x</v>
      </c>
      <c r="W817" s="29" t="str">
        <f t="shared" si="148"/>
        <v>Loại 3</v>
      </c>
      <c r="X817" s="18"/>
    </row>
    <row r="818" spans="1:24" ht="15.75" hidden="1" customHeight="1">
      <c r="A818" s="30">
        <f>_xlfn.AGGREGATE(4,7,A$6:A817)+1</f>
        <v>598</v>
      </c>
      <c r="B818" s="66" t="str">
        <f t="shared" si="147"/>
        <v>H. Na Rì</v>
      </c>
      <c r="C818" s="33" t="str">
        <f t="shared" ref="C818:C821" si="157">C817</f>
        <v>X. Lương Thượng</v>
      </c>
      <c r="D818" s="32"/>
      <c r="E818" s="32" t="s">
        <v>58</v>
      </c>
      <c r="F818" s="33" t="s">
        <v>900</v>
      </c>
      <c r="G818" s="32"/>
      <c r="H818" s="32" t="str">
        <f>IF(LEFT('PL1(Full)'!$F818,4)="Thôn","Thôn","Tổ")</f>
        <v>Thôn</v>
      </c>
      <c r="I818" s="35">
        <v>146</v>
      </c>
      <c r="J818" s="35">
        <v>726</v>
      </c>
      <c r="K818" s="35">
        <v>146</v>
      </c>
      <c r="L818" s="37">
        <f t="shared" si="0"/>
        <v>100</v>
      </c>
      <c r="M818" s="35">
        <v>111</v>
      </c>
      <c r="N818" s="38">
        <f t="shared" si="1"/>
        <v>76.027397260273972</v>
      </c>
      <c r="O818" s="35">
        <v>111</v>
      </c>
      <c r="P818" s="38">
        <f t="shared" si="2"/>
        <v>100</v>
      </c>
      <c r="Q818" s="134" t="s">
        <v>56</v>
      </c>
      <c r="R818" s="134" t="str">
        <f t="shared" si="3"/>
        <v>X</v>
      </c>
      <c r="S818" s="135" t="s">
        <v>60</v>
      </c>
      <c r="T818" s="34" t="str">
        <f>IF('PL1(Full)'!$N818&gt;=20,"x",IF(AND('PL1(Full)'!$N818&gt;=15,'PL1(Full)'!$P818&gt;60),"x",""))</f>
        <v>x</v>
      </c>
      <c r="U818" s="34" t="str">
        <f>IF(AND('PL1(Full)'!$H818="Thôn",'PL1(Full)'!$I818&lt;75),"x",IF(AND('PL1(Full)'!$H818="Tổ",'PL1(Full)'!$I818&lt;100),"x","-"))</f>
        <v>-</v>
      </c>
      <c r="V818" s="34" t="str">
        <f>IF(AND('PL1(Full)'!$H818="Thôn",'PL1(Full)'!$I818&lt;140),"x",IF(AND('PL1(Full)'!$H818="Tổ",'PL1(Full)'!$I818&lt;210),"x","-"))</f>
        <v>-</v>
      </c>
      <c r="W818" s="40" t="str">
        <f t="shared" si="148"/>
        <v>Loại 2</v>
      </c>
      <c r="X818" s="32"/>
    </row>
    <row r="819" spans="1:24" ht="15.75" hidden="1" customHeight="1">
      <c r="A819" s="30">
        <f>_xlfn.AGGREGATE(4,7,A$6:A818)+1</f>
        <v>598</v>
      </c>
      <c r="B819" s="66" t="str">
        <f t="shared" si="147"/>
        <v>H. Na Rì</v>
      </c>
      <c r="C819" s="33" t="str">
        <f t="shared" si="157"/>
        <v>X. Lương Thượng</v>
      </c>
      <c r="D819" s="32"/>
      <c r="E819" s="32" t="s">
        <v>58</v>
      </c>
      <c r="F819" s="33" t="s">
        <v>159</v>
      </c>
      <c r="G819" s="32"/>
      <c r="H819" s="32" t="str">
        <f>IF(LEFT('PL1(Full)'!$F819,4)="Thôn","Thôn","Tổ")</f>
        <v>Thôn</v>
      </c>
      <c r="I819" s="35">
        <v>100</v>
      </c>
      <c r="J819" s="35">
        <v>472</v>
      </c>
      <c r="K819" s="35">
        <v>98</v>
      </c>
      <c r="L819" s="37">
        <f t="shared" si="0"/>
        <v>98</v>
      </c>
      <c r="M819" s="35">
        <v>16</v>
      </c>
      <c r="N819" s="38">
        <f t="shared" si="1"/>
        <v>16</v>
      </c>
      <c r="O819" s="35">
        <v>16</v>
      </c>
      <c r="P819" s="38">
        <f t="shared" si="2"/>
        <v>100</v>
      </c>
      <c r="Q819" s="134" t="s">
        <v>56</v>
      </c>
      <c r="R819" s="134" t="str">
        <f t="shared" si="3"/>
        <v>X</v>
      </c>
      <c r="S819" s="135" t="s">
        <v>60</v>
      </c>
      <c r="T819" s="34" t="str">
        <f>IF('PL1(Full)'!$N819&gt;=20,"x",IF(AND('PL1(Full)'!$N819&gt;=15,'PL1(Full)'!$P819&gt;60),"x",""))</f>
        <v>x</v>
      </c>
      <c r="U819" s="34" t="str">
        <f>IF(AND('PL1(Full)'!$H819="Thôn",'PL1(Full)'!$I819&lt;75),"x",IF(AND('PL1(Full)'!$H819="Tổ",'PL1(Full)'!$I819&lt;100),"x","-"))</f>
        <v>-</v>
      </c>
      <c r="V819" s="34" t="str">
        <f>IF(AND('PL1(Full)'!$H819="Thôn",'PL1(Full)'!$I819&lt;140),"x",IF(AND('PL1(Full)'!$H819="Tổ",'PL1(Full)'!$I819&lt;210),"x","-"))</f>
        <v>x</v>
      </c>
      <c r="W819" s="40" t="str">
        <f t="shared" si="148"/>
        <v>Loại 2</v>
      </c>
      <c r="X819" s="32"/>
    </row>
    <row r="820" spans="1:24" ht="15.75" customHeight="1">
      <c r="A820" s="30">
        <f>_xlfn.AGGREGATE(4,7,A$6:A819)+1</f>
        <v>598</v>
      </c>
      <c r="B820" s="66" t="str">
        <f t="shared" si="147"/>
        <v>H. Na Rì</v>
      </c>
      <c r="C820" s="33" t="str">
        <f t="shared" si="157"/>
        <v>X. Lương Thượng</v>
      </c>
      <c r="D820" s="32"/>
      <c r="E820" s="32" t="s">
        <v>58</v>
      </c>
      <c r="F820" s="33" t="s">
        <v>901</v>
      </c>
      <c r="G820" s="32"/>
      <c r="H820" s="32" t="str">
        <f>IF(LEFT('PL1(Full)'!$F820,4)="Thôn","Thôn","Tổ")</f>
        <v>Thôn</v>
      </c>
      <c r="I820" s="35">
        <v>71</v>
      </c>
      <c r="J820" s="35">
        <v>293</v>
      </c>
      <c r="K820" s="35">
        <v>70</v>
      </c>
      <c r="L820" s="37">
        <f t="shared" si="0"/>
        <v>98.591549295774641</v>
      </c>
      <c r="M820" s="35">
        <v>21</v>
      </c>
      <c r="N820" s="38">
        <f t="shared" si="1"/>
        <v>29.577464788732396</v>
      </c>
      <c r="O820" s="35">
        <v>20</v>
      </c>
      <c r="P820" s="38">
        <f t="shared" si="2"/>
        <v>95.238095238095241</v>
      </c>
      <c r="Q820" s="134" t="s">
        <v>56</v>
      </c>
      <c r="R820" s="134" t="str">
        <f t="shared" si="3"/>
        <v>X</v>
      </c>
      <c r="S820" s="135" t="s">
        <v>60</v>
      </c>
      <c r="T820" s="34" t="str">
        <f>IF('PL1(Full)'!$N820&gt;=20,"x",IF(AND('PL1(Full)'!$N820&gt;=15,'PL1(Full)'!$P820&gt;60),"x",""))</f>
        <v>x</v>
      </c>
      <c r="U820" s="34" t="str">
        <f>IF(AND('PL1(Full)'!$H820="Thôn",'PL1(Full)'!$I820&lt;75),"x",IF(AND('PL1(Full)'!$H820="Tổ",'PL1(Full)'!$I820&lt;100),"x","-"))</f>
        <v>x</v>
      </c>
      <c r="V820" s="34" t="str">
        <f>IF(AND('PL1(Full)'!$H820="Thôn",'PL1(Full)'!$I820&lt;140),"x",IF(AND('PL1(Full)'!$H820="Tổ",'PL1(Full)'!$I820&lt;210),"x","-"))</f>
        <v>x</v>
      </c>
      <c r="W820" s="40" t="str">
        <f t="shared" si="148"/>
        <v>Loại 3</v>
      </c>
      <c r="X820" s="32"/>
    </row>
    <row r="821" spans="1:24" ht="15.75" hidden="1" customHeight="1">
      <c r="A821" s="41">
        <f>_xlfn.AGGREGATE(4,7,A$6:A820)+1</f>
        <v>599</v>
      </c>
      <c r="B821" s="67" t="str">
        <f t="shared" si="147"/>
        <v>H. Na Rì</v>
      </c>
      <c r="C821" s="44" t="str">
        <f t="shared" si="157"/>
        <v>X. Lương Thượng</v>
      </c>
      <c r="D821" s="43"/>
      <c r="E821" s="43" t="s">
        <v>58</v>
      </c>
      <c r="F821" s="44" t="s">
        <v>902</v>
      </c>
      <c r="G821" s="43"/>
      <c r="H821" s="43" t="str">
        <f>IF(LEFT('PL1(Full)'!$F821,4)="Thôn","Thôn","Tổ")</f>
        <v>Thôn</v>
      </c>
      <c r="I821" s="45">
        <v>77</v>
      </c>
      <c r="J821" s="45">
        <v>323</v>
      </c>
      <c r="K821" s="45">
        <v>74</v>
      </c>
      <c r="L821" s="47">
        <f t="shared" si="0"/>
        <v>96.103896103896105</v>
      </c>
      <c r="M821" s="45">
        <v>16</v>
      </c>
      <c r="N821" s="48">
        <f t="shared" si="1"/>
        <v>20.779220779220779</v>
      </c>
      <c r="O821" s="45">
        <v>15</v>
      </c>
      <c r="P821" s="48">
        <f t="shared" si="2"/>
        <v>93.75</v>
      </c>
      <c r="Q821" s="136" t="s">
        <v>56</v>
      </c>
      <c r="R821" s="136" t="str">
        <f t="shared" si="3"/>
        <v>X</v>
      </c>
      <c r="S821" s="137" t="s">
        <v>60</v>
      </c>
      <c r="T821" s="50" t="str">
        <f>IF('PL1(Full)'!$N821&gt;=20,"x",IF(AND('PL1(Full)'!$N821&gt;=15,'PL1(Full)'!$P821&gt;60),"x",""))</f>
        <v>x</v>
      </c>
      <c r="U821" s="50" t="str">
        <f>IF(AND('PL1(Full)'!$H821="Thôn",'PL1(Full)'!$I821&lt;75),"x",IF(AND('PL1(Full)'!$H821="Tổ",'PL1(Full)'!$I821&lt;100),"x","-"))</f>
        <v>-</v>
      </c>
      <c r="V821" s="34" t="str">
        <f>IF(AND('PL1(Full)'!$H821="Thôn",'PL1(Full)'!$I821&lt;140),"x",IF(AND('PL1(Full)'!$H821="Tổ",'PL1(Full)'!$I821&lt;210),"x","-"))</f>
        <v>x</v>
      </c>
      <c r="W821" s="51" t="str">
        <f t="shared" si="148"/>
        <v>Loại 3</v>
      </c>
      <c r="X821" s="43"/>
    </row>
    <row r="822" spans="1:24" ht="15.75" customHeight="1">
      <c r="A822" s="52">
        <f>_xlfn.AGGREGATE(4,7,A$6:A821)+1</f>
        <v>599</v>
      </c>
      <c r="B822" s="65" t="str">
        <f t="shared" si="147"/>
        <v>H. Na Rì</v>
      </c>
      <c r="C822" s="14" t="s">
        <v>903</v>
      </c>
      <c r="D822" s="15" t="s">
        <v>58</v>
      </c>
      <c r="E822" s="16" t="s">
        <v>58</v>
      </c>
      <c r="F822" s="17" t="s">
        <v>904</v>
      </c>
      <c r="G822" s="18"/>
      <c r="H822" s="18" t="str">
        <f>IF(LEFT('PL1(Full)'!$F822,4)="Thôn","Thôn","Tổ")</f>
        <v>Thôn</v>
      </c>
      <c r="I822" s="19">
        <v>30</v>
      </c>
      <c r="J822" s="19">
        <v>115</v>
      </c>
      <c r="K822" s="19">
        <v>30</v>
      </c>
      <c r="L822" s="21">
        <f t="shared" si="0"/>
        <v>100</v>
      </c>
      <c r="M822" s="19">
        <v>16</v>
      </c>
      <c r="N822" s="22">
        <f t="shared" si="1"/>
        <v>53.333333333333336</v>
      </c>
      <c r="O822" s="19">
        <v>16</v>
      </c>
      <c r="P822" s="22">
        <f t="shared" si="2"/>
        <v>100</v>
      </c>
      <c r="Q822" s="132" t="s">
        <v>117</v>
      </c>
      <c r="R822" s="132" t="str">
        <f t="shared" si="3"/>
        <v>T</v>
      </c>
      <c r="S822" s="133" t="s">
        <v>60</v>
      </c>
      <c r="T822" s="26" t="str">
        <f>IF('PL1(Full)'!$N822&gt;=20,"x",IF(AND('PL1(Full)'!$N822&gt;=15,'PL1(Full)'!$P822&gt;60),"x",""))</f>
        <v>x</v>
      </c>
      <c r="U822" s="27" t="str">
        <f>IF(AND('PL1(Full)'!$H822="Thôn",'PL1(Full)'!$I822&lt;75),"x",IF(AND('PL1(Full)'!$H822="Tổ",'PL1(Full)'!$I822&lt;100),"x","-"))</f>
        <v>x</v>
      </c>
      <c r="V822" s="28" t="str">
        <f>IF(AND('PL1(Full)'!$H822="Thôn",'PL1(Full)'!$I822&lt;140),"x",IF(AND('PL1(Full)'!$H822="Tổ",'PL1(Full)'!$I822&lt;210),"x","-"))</f>
        <v>x</v>
      </c>
      <c r="W822" s="29" t="str">
        <f t="shared" si="148"/>
        <v>Loại 3</v>
      </c>
      <c r="X822" s="18"/>
    </row>
    <row r="823" spans="1:24" ht="15.75" customHeight="1">
      <c r="A823" s="30">
        <f>_xlfn.AGGREGATE(4,7,A$6:A822)+1</f>
        <v>600</v>
      </c>
      <c r="B823" s="66" t="str">
        <f t="shared" si="147"/>
        <v>H. Na Rì</v>
      </c>
      <c r="C823" s="33" t="str">
        <f t="shared" ref="C823:C830" si="158">C822</f>
        <v>X. Quang Phong</v>
      </c>
      <c r="D823" s="32"/>
      <c r="E823" s="32" t="s">
        <v>58</v>
      </c>
      <c r="F823" s="33" t="s">
        <v>905</v>
      </c>
      <c r="G823" s="32"/>
      <c r="H823" s="32" t="str">
        <f>IF(LEFT('PL1(Full)'!$F823,4)="Thôn","Thôn","Tổ")</f>
        <v>Thôn</v>
      </c>
      <c r="I823" s="35">
        <v>20</v>
      </c>
      <c r="J823" s="35">
        <v>71</v>
      </c>
      <c r="K823" s="35">
        <v>20</v>
      </c>
      <c r="L823" s="37">
        <f t="shared" si="0"/>
        <v>100</v>
      </c>
      <c r="M823" s="35">
        <v>12</v>
      </c>
      <c r="N823" s="38">
        <f t="shared" si="1"/>
        <v>60</v>
      </c>
      <c r="O823" s="35">
        <v>12</v>
      </c>
      <c r="P823" s="38">
        <f t="shared" si="2"/>
        <v>100</v>
      </c>
      <c r="Q823" s="134" t="s">
        <v>63</v>
      </c>
      <c r="R823" s="134" t="str">
        <f t="shared" si="3"/>
        <v>X</v>
      </c>
      <c r="S823" s="135" t="s">
        <v>60</v>
      </c>
      <c r="T823" s="34" t="str">
        <f>IF('PL1(Full)'!$N823&gt;=20,"x",IF(AND('PL1(Full)'!$N823&gt;=15,'PL1(Full)'!$P823&gt;60),"x",""))</f>
        <v>x</v>
      </c>
      <c r="U823" s="34" t="str">
        <f>IF(AND('PL1(Full)'!$H823="Thôn",'PL1(Full)'!$I823&lt;75),"x",IF(AND('PL1(Full)'!$H823="Tổ",'PL1(Full)'!$I823&lt;100),"x","-"))</f>
        <v>x</v>
      </c>
      <c r="V823" s="34" t="str">
        <f>IF(AND('PL1(Full)'!$H823="Thôn",'PL1(Full)'!$I823&lt;140),"x",IF(AND('PL1(Full)'!$H823="Tổ",'PL1(Full)'!$I823&lt;210),"x","-"))</f>
        <v>x</v>
      </c>
      <c r="W823" s="40" t="str">
        <f t="shared" si="148"/>
        <v>Loại 3</v>
      </c>
      <c r="X823" s="32"/>
    </row>
    <row r="824" spans="1:24" ht="15.75" customHeight="1">
      <c r="A824" s="30">
        <f>_xlfn.AGGREGATE(4,7,A$6:A823)+1</f>
        <v>601</v>
      </c>
      <c r="B824" s="66" t="str">
        <f t="shared" si="147"/>
        <v>H. Na Rì</v>
      </c>
      <c r="C824" s="33" t="str">
        <f t="shared" si="158"/>
        <v>X. Quang Phong</v>
      </c>
      <c r="D824" s="32"/>
      <c r="E824" s="32" t="s">
        <v>58</v>
      </c>
      <c r="F824" s="33" t="s">
        <v>874</v>
      </c>
      <c r="G824" s="32"/>
      <c r="H824" s="32" t="str">
        <f>IF(LEFT('PL1(Full)'!$F824,4)="Thôn","Thôn","Tổ")</f>
        <v>Thôn</v>
      </c>
      <c r="I824" s="35">
        <v>12</v>
      </c>
      <c r="J824" s="35">
        <v>58</v>
      </c>
      <c r="K824" s="35">
        <v>12</v>
      </c>
      <c r="L824" s="37">
        <f t="shared" si="0"/>
        <v>100</v>
      </c>
      <c r="M824" s="35">
        <v>12</v>
      </c>
      <c r="N824" s="38">
        <f t="shared" si="1"/>
        <v>100</v>
      </c>
      <c r="O824" s="35">
        <v>12</v>
      </c>
      <c r="P824" s="38">
        <f t="shared" si="2"/>
        <v>100</v>
      </c>
      <c r="Q824" s="134" t="s">
        <v>154</v>
      </c>
      <c r="R824" s="134" t="str">
        <f t="shared" si="3"/>
        <v>X</v>
      </c>
      <c r="S824" s="135" t="s">
        <v>60</v>
      </c>
      <c r="T824" s="34" t="str">
        <f>IF('PL1(Full)'!$N824&gt;=20,"x",IF(AND('PL1(Full)'!$N824&gt;=15,'PL1(Full)'!$P824&gt;60),"x",""))</f>
        <v>x</v>
      </c>
      <c r="U824" s="34" t="str">
        <f>IF(AND('PL1(Full)'!$H824="Thôn",'PL1(Full)'!$I824&lt;75),"x",IF(AND('PL1(Full)'!$H824="Tổ",'PL1(Full)'!$I824&lt;100),"x","-"))</f>
        <v>x</v>
      </c>
      <c r="V824" s="34" t="str">
        <f>IF(AND('PL1(Full)'!$H824="Thôn",'PL1(Full)'!$I824&lt;140),"x",IF(AND('PL1(Full)'!$H824="Tổ",'PL1(Full)'!$I824&lt;210),"x","-"))</f>
        <v>x</v>
      </c>
      <c r="W824" s="40" t="str">
        <f t="shared" si="148"/>
        <v>Loại 3</v>
      </c>
      <c r="X824" s="32"/>
    </row>
    <row r="825" spans="1:24" ht="15.75" hidden="1" customHeight="1">
      <c r="A825" s="30">
        <f>_xlfn.AGGREGATE(4,7,A$6:A824)+1</f>
        <v>602</v>
      </c>
      <c r="B825" s="66" t="str">
        <f t="shared" si="147"/>
        <v>H. Na Rì</v>
      </c>
      <c r="C825" s="33" t="str">
        <f t="shared" si="158"/>
        <v>X. Quang Phong</v>
      </c>
      <c r="D825" s="32"/>
      <c r="E825" s="32" t="s">
        <v>58</v>
      </c>
      <c r="F825" s="33" t="s">
        <v>906</v>
      </c>
      <c r="G825" s="34" t="s">
        <v>40</v>
      </c>
      <c r="H825" s="32" t="str">
        <f>IF(LEFT('PL1(Full)'!$F825,4)="Thôn","Thôn","Tổ")</f>
        <v>Thôn</v>
      </c>
      <c r="I825" s="35">
        <v>79</v>
      </c>
      <c r="J825" s="35">
        <v>326</v>
      </c>
      <c r="K825" s="35">
        <v>71</v>
      </c>
      <c r="L825" s="37">
        <f t="shared" si="0"/>
        <v>89.87341772151899</v>
      </c>
      <c r="M825" s="35">
        <v>22</v>
      </c>
      <c r="N825" s="38">
        <f t="shared" si="1"/>
        <v>27.848101265822784</v>
      </c>
      <c r="O825" s="35">
        <v>20</v>
      </c>
      <c r="P825" s="38">
        <f t="shared" si="2"/>
        <v>90.909090909090907</v>
      </c>
      <c r="Q825" s="134" t="s">
        <v>49</v>
      </c>
      <c r="R825" s="134" t="str">
        <f t="shared" si="3"/>
        <v>X</v>
      </c>
      <c r="S825" s="135" t="s">
        <v>60</v>
      </c>
      <c r="T825" s="34" t="str">
        <f>IF('PL1(Full)'!$N825&gt;=20,"x",IF(AND('PL1(Full)'!$N825&gt;=15,'PL1(Full)'!$P825&gt;60),"x",""))</f>
        <v>x</v>
      </c>
      <c r="U825" s="34" t="str">
        <f>IF(AND('PL1(Full)'!$H825="Thôn",'PL1(Full)'!$I825&lt;75),"x",IF(AND('PL1(Full)'!$H825="Tổ",'PL1(Full)'!$I825&lt;100),"x","-"))</f>
        <v>-</v>
      </c>
      <c r="V825" s="34" t="str">
        <f>IF(AND('PL1(Full)'!$H825="Thôn",'PL1(Full)'!$I825&lt;140),"x",IF(AND('PL1(Full)'!$H825="Tổ",'PL1(Full)'!$I825&lt;210),"x","-"))</f>
        <v>x</v>
      </c>
      <c r="W825" s="40" t="str">
        <f t="shared" si="148"/>
        <v>Loại 3</v>
      </c>
      <c r="X825" s="32"/>
    </row>
    <row r="826" spans="1:24" ht="15.75" customHeight="1">
      <c r="A826" s="30">
        <f>_xlfn.AGGREGATE(4,7,A$6:A825)+1</f>
        <v>602</v>
      </c>
      <c r="B826" s="66" t="str">
        <f t="shared" si="147"/>
        <v>H. Na Rì</v>
      </c>
      <c r="C826" s="33" t="str">
        <f t="shared" si="158"/>
        <v>X. Quang Phong</v>
      </c>
      <c r="D826" s="32"/>
      <c r="E826" s="32" t="s">
        <v>58</v>
      </c>
      <c r="F826" s="33" t="s">
        <v>907</v>
      </c>
      <c r="G826" s="34" t="s">
        <v>40</v>
      </c>
      <c r="H826" s="32" t="str">
        <f>IF(LEFT('PL1(Full)'!$F826,4)="Thôn","Thôn","Tổ")</f>
        <v>Thôn</v>
      </c>
      <c r="I826" s="35">
        <v>62</v>
      </c>
      <c r="J826" s="35">
        <v>267</v>
      </c>
      <c r="K826" s="35">
        <v>57</v>
      </c>
      <c r="L826" s="37">
        <f t="shared" si="0"/>
        <v>91.935483870967744</v>
      </c>
      <c r="M826" s="35">
        <v>19</v>
      </c>
      <c r="N826" s="38">
        <f t="shared" si="1"/>
        <v>30.64516129032258</v>
      </c>
      <c r="O826" s="35">
        <v>16</v>
      </c>
      <c r="P826" s="38">
        <f t="shared" si="2"/>
        <v>84.21052631578948</v>
      </c>
      <c r="Q826" s="134" t="s">
        <v>56</v>
      </c>
      <c r="R826" s="134" t="str">
        <f t="shared" si="3"/>
        <v>X</v>
      </c>
      <c r="S826" s="135" t="s">
        <v>60</v>
      </c>
      <c r="T826" s="34" t="str">
        <f>IF('PL1(Full)'!$N826&gt;=20,"x",IF(AND('PL1(Full)'!$N826&gt;=15,'PL1(Full)'!$P826&gt;60),"x",""))</f>
        <v>x</v>
      </c>
      <c r="U826" s="34" t="str">
        <f>IF(AND('PL1(Full)'!$H826="Thôn",'PL1(Full)'!$I826&lt;75),"x",IF(AND('PL1(Full)'!$H826="Tổ",'PL1(Full)'!$I826&lt;100),"x","-"))</f>
        <v>x</v>
      </c>
      <c r="V826" s="34" t="str">
        <f>IF(AND('PL1(Full)'!$H826="Thôn",'PL1(Full)'!$I826&lt;140),"x",IF(AND('PL1(Full)'!$H826="Tổ",'PL1(Full)'!$I826&lt;210),"x","-"))</f>
        <v>x</v>
      </c>
      <c r="W826" s="40" t="str">
        <f t="shared" si="148"/>
        <v>Loại 3</v>
      </c>
      <c r="X826" s="32"/>
    </row>
    <row r="827" spans="1:24" ht="15.75" customHeight="1">
      <c r="A827" s="30">
        <f>_xlfn.AGGREGATE(4,7,A$6:A826)+1</f>
        <v>603</v>
      </c>
      <c r="B827" s="66" t="str">
        <f t="shared" si="147"/>
        <v>H. Na Rì</v>
      </c>
      <c r="C827" s="66" t="str">
        <f t="shared" si="158"/>
        <v>X. Quang Phong</v>
      </c>
      <c r="D827" s="32"/>
      <c r="E827" s="32" t="s">
        <v>58</v>
      </c>
      <c r="F827" s="33" t="s">
        <v>908</v>
      </c>
      <c r="G827" s="34" t="s">
        <v>40</v>
      </c>
      <c r="H827" s="32" t="str">
        <f>IF(LEFT('PL1(Full)'!$F827,4)="Thôn","Thôn","Tổ")</f>
        <v>Thôn</v>
      </c>
      <c r="I827" s="35">
        <v>43</v>
      </c>
      <c r="J827" s="35">
        <v>169</v>
      </c>
      <c r="K827" s="35">
        <v>40</v>
      </c>
      <c r="L827" s="37">
        <f t="shared" si="0"/>
        <v>93.023255813953483</v>
      </c>
      <c r="M827" s="35">
        <v>19</v>
      </c>
      <c r="N827" s="38">
        <f t="shared" si="1"/>
        <v>44.186046511627907</v>
      </c>
      <c r="O827" s="35">
        <v>16</v>
      </c>
      <c r="P827" s="38">
        <f t="shared" si="2"/>
        <v>84.21052631578948</v>
      </c>
      <c r="Q827" s="134" t="s">
        <v>117</v>
      </c>
      <c r="R827" s="134" t="str">
        <f t="shared" si="3"/>
        <v>T</v>
      </c>
      <c r="S827" s="135" t="s">
        <v>60</v>
      </c>
      <c r="T827" s="34" t="str">
        <f>IF('PL1(Full)'!$N827&gt;=20,"x",IF(AND('PL1(Full)'!$N827&gt;=15,'PL1(Full)'!$P827&gt;60),"x",""))</f>
        <v>x</v>
      </c>
      <c r="U827" s="34" t="str">
        <f>IF(AND('PL1(Full)'!$H827="Thôn",'PL1(Full)'!$I827&lt;75),"x",IF(AND('PL1(Full)'!$H827="Tổ",'PL1(Full)'!$I827&lt;100),"x","-"))</f>
        <v>x</v>
      </c>
      <c r="V827" s="34" t="str">
        <f>IF(AND('PL1(Full)'!$H827="Thôn",'PL1(Full)'!$I827&lt;140),"x",IF(AND('PL1(Full)'!$H827="Tổ",'PL1(Full)'!$I827&lt;210),"x","-"))</f>
        <v>x</v>
      </c>
      <c r="W827" s="40" t="str">
        <f t="shared" si="148"/>
        <v>Loại 3</v>
      </c>
      <c r="X827" s="32"/>
    </row>
    <row r="828" spans="1:24" ht="15.75" customHeight="1">
      <c r="A828" s="30">
        <f>_xlfn.AGGREGATE(4,7,A$6:A827)+1</f>
        <v>604</v>
      </c>
      <c r="B828" s="66" t="str">
        <f t="shared" si="147"/>
        <v>H. Na Rì</v>
      </c>
      <c r="C828" s="33" t="str">
        <f t="shared" si="158"/>
        <v>X. Quang Phong</v>
      </c>
      <c r="D828" s="32"/>
      <c r="E828" s="32" t="s">
        <v>58</v>
      </c>
      <c r="F828" s="33" t="s">
        <v>909</v>
      </c>
      <c r="G828" s="34" t="s">
        <v>40</v>
      </c>
      <c r="H828" s="32" t="str">
        <f>IF(LEFT('PL1(Full)'!$F828,4)="Thôn","Thôn","Tổ")</f>
        <v>Thôn</v>
      </c>
      <c r="I828" s="35">
        <v>61</v>
      </c>
      <c r="J828" s="35">
        <v>273</v>
      </c>
      <c r="K828" s="35">
        <v>60</v>
      </c>
      <c r="L828" s="37">
        <f t="shared" si="0"/>
        <v>98.360655737704917</v>
      </c>
      <c r="M828" s="35">
        <v>19</v>
      </c>
      <c r="N828" s="38">
        <f t="shared" si="1"/>
        <v>31.147540983606557</v>
      </c>
      <c r="O828" s="35">
        <v>19</v>
      </c>
      <c r="P828" s="38">
        <f t="shared" si="2"/>
        <v>100</v>
      </c>
      <c r="Q828" s="134" t="s">
        <v>56</v>
      </c>
      <c r="R828" s="134" t="str">
        <f t="shared" si="3"/>
        <v>X</v>
      </c>
      <c r="S828" s="135" t="s">
        <v>60</v>
      </c>
      <c r="T828" s="34" t="str">
        <f>IF('PL1(Full)'!$N828&gt;=20,"x",IF(AND('PL1(Full)'!$N828&gt;=15,'PL1(Full)'!$P828&gt;60),"x",""))</f>
        <v>x</v>
      </c>
      <c r="U828" s="34" t="str">
        <f>IF(AND('PL1(Full)'!$H828="Thôn",'PL1(Full)'!$I828&lt;75),"x",IF(AND('PL1(Full)'!$H828="Tổ",'PL1(Full)'!$I828&lt;100),"x","-"))</f>
        <v>x</v>
      </c>
      <c r="V828" s="34" t="str">
        <f>IF(AND('PL1(Full)'!$H828="Thôn",'PL1(Full)'!$I828&lt;140),"x",IF(AND('PL1(Full)'!$H828="Tổ",'PL1(Full)'!$I828&lt;210),"x","-"))</f>
        <v>x</v>
      </c>
      <c r="W828" s="40" t="str">
        <f t="shared" si="148"/>
        <v>Loại 3</v>
      </c>
      <c r="X828" s="32"/>
    </row>
    <row r="829" spans="1:24" ht="15.75" customHeight="1">
      <c r="A829" s="30">
        <f>_xlfn.AGGREGATE(4,7,A$6:A828)+1</f>
        <v>605</v>
      </c>
      <c r="B829" s="66" t="str">
        <f t="shared" si="147"/>
        <v>H. Na Rì</v>
      </c>
      <c r="C829" s="33" t="str">
        <f t="shared" si="158"/>
        <v>X. Quang Phong</v>
      </c>
      <c r="D829" s="32"/>
      <c r="E829" s="32" t="s">
        <v>58</v>
      </c>
      <c r="F829" s="33" t="s">
        <v>385</v>
      </c>
      <c r="G829" s="32"/>
      <c r="H829" s="32" t="str">
        <f>IF(LEFT('PL1(Full)'!$F829,4)="Thôn","Thôn","Tổ")</f>
        <v>Thôn</v>
      </c>
      <c r="I829" s="35">
        <v>42</v>
      </c>
      <c r="J829" s="35">
        <v>160</v>
      </c>
      <c r="K829" s="35">
        <v>40</v>
      </c>
      <c r="L829" s="37">
        <f t="shared" si="0"/>
        <v>95.238095238095241</v>
      </c>
      <c r="M829" s="35">
        <v>15</v>
      </c>
      <c r="N829" s="38">
        <f t="shared" si="1"/>
        <v>35.714285714285715</v>
      </c>
      <c r="O829" s="35">
        <v>14</v>
      </c>
      <c r="P829" s="38">
        <f t="shared" si="2"/>
        <v>93.333333333333329</v>
      </c>
      <c r="Q829" s="134" t="s">
        <v>56</v>
      </c>
      <c r="R829" s="134" t="str">
        <f t="shared" si="3"/>
        <v>X</v>
      </c>
      <c r="S829" s="135"/>
      <c r="T829" s="34" t="str">
        <f>IF('PL1(Full)'!$N829&gt;=20,"x",IF(AND('PL1(Full)'!$N829&gt;=15,'PL1(Full)'!$P829&gt;60),"x",""))</f>
        <v>x</v>
      </c>
      <c r="U829" s="34" t="str">
        <f>IF(AND('PL1(Full)'!$H829="Thôn",'PL1(Full)'!$I829&lt;75),"x",IF(AND('PL1(Full)'!$H829="Tổ",'PL1(Full)'!$I829&lt;100),"x","-"))</f>
        <v>x</v>
      </c>
      <c r="V829" s="34" t="str">
        <f>IF(AND('PL1(Full)'!$H829="Thôn",'PL1(Full)'!$I829&lt;140),"x",IF(AND('PL1(Full)'!$H829="Tổ",'PL1(Full)'!$I829&lt;210),"x","-"))</f>
        <v>x</v>
      </c>
      <c r="W829" s="40" t="str">
        <f t="shared" si="148"/>
        <v>Loại 3</v>
      </c>
      <c r="X829" s="32"/>
    </row>
    <row r="830" spans="1:24" ht="15.75" customHeight="1">
      <c r="A830" s="41">
        <f>_xlfn.AGGREGATE(4,7,A$6:A829)+1</f>
        <v>606</v>
      </c>
      <c r="B830" s="67" t="str">
        <f t="shared" si="147"/>
        <v>H. Na Rì</v>
      </c>
      <c r="C830" s="44" t="str">
        <f t="shared" si="158"/>
        <v>X. Quang Phong</v>
      </c>
      <c r="D830" s="43"/>
      <c r="E830" s="43" t="s">
        <v>58</v>
      </c>
      <c r="F830" s="44" t="s">
        <v>910</v>
      </c>
      <c r="G830" s="43" t="s">
        <v>40</v>
      </c>
      <c r="H830" s="43" t="str">
        <f>IF(LEFT('PL1(Full)'!$F830,4)="Thôn","Thôn","Tổ")</f>
        <v>Thôn</v>
      </c>
      <c r="I830" s="45">
        <v>47</v>
      </c>
      <c r="J830" s="45">
        <v>220</v>
      </c>
      <c r="K830" s="45">
        <v>45</v>
      </c>
      <c r="L830" s="47">
        <f t="shared" si="0"/>
        <v>95.744680851063833</v>
      </c>
      <c r="M830" s="45">
        <v>16</v>
      </c>
      <c r="N830" s="48">
        <f t="shared" si="1"/>
        <v>34.042553191489361</v>
      </c>
      <c r="O830" s="45">
        <v>15</v>
      </c>
      <c r="P830" s="48">
        <f t="shared" si="2"/>
        <v>93.75</v>
      </c>
      <c r="Q830" s="136" t="s">
        <v>56</v>
      </c>
      <c r="R830" s="136" t="str">
        <f t="shared" si="3"/>
        <v>X</v>
      </c>
      <c r="S830" s="137" t="s">
        <v>60</v>
      </c>
      <c r="T830" s="50" t="str">
        <f>IF('PL1(Full)'!$N830&gt;=20,"x",IF(AND('PL1(Full)'!$N830&gt;=15,'PL1(Full)'!$P830&gt;60),"x",""))</f>
        <v>x</v>
      </c>
      <c r="U830" s="50" t="str">
        <f>IF(AND('PL1(Full)'!$H830="Thôn",'PL1(Full)'!$I830&lt;75),"x",IF(AND('PL1(Full)'!$H830="Tổ",'PL1(Full)'!$I830&lt;100),"x","-"))</f>
        <v>x</v>
      </c>
      <c r="V830" s="50" t="str">
        <f>IF(AND('PL1(Full)'!$H830="Thôn",'PL1(Full)'!$I830&lt;140),"x",IF(AND('PL1(Full)'!$H830="Tổ",'PL1(Full)'!$I830&lt;210),"x","-"))</f>
        <v>x</v>
      </c>
      <c r="W830" s="51" t="str">
        <f t="shared" si="148"/>
        <v>Loại 3</v>
      </c>
      <c r="X830" s="43"/>
    </row>
    <row r="831" spans="1:24" ht="15.75" customHeight="1">
      <c r="A831" s="52">
        <f>_xlfn.AGGREGATE(4,7,A$6:A830)+1</f>
        <v>607</v>
      </c>
      <c r="B831" s="65" t="str">
        <f t="shared" si="147"/>
        <v>H. Na Rì</v>
      </c>
      <c r="C831" s="14" t="s">
        <v>911</v>
      </c>
      <c r="D831" s="15" t="s">
        <v>58</v>
      </c>
      <c r="E831" s="16" t="s">
        <v>58</v>
      </c>
      <c r="F831" s="17" t="s">
        <v>457</v>
      </c>
      <c r="G831" s="18"/>
      <c r="H831" s="18" t="str">
        <f>IF(LEFT('PL1(Full)'!$F831,4)="Thôn","Thôn","Tổ")</f>
        <v>Thôn</v>
      </c>
      <c r="I831" s="19">
        <v>22</v>
      </c>
      <c r="J831" s="19">
        <v>83</v>
      </c>
      <c r="K831" s="19">
        <v>21</v>
      </c>
      <c r="L831" s="21">
        <f t="shared" si="0"/>
        <v>95.454545454545453</v>
      </c>
      <c r="M831" s="19">
        <v>5</v>
      </c>
      <c r="N831" s="22">
        <f t="shared" si="1"/>
        <v>22.727272727272727</v>
      </c>
      <c r="O831" s="19">
        <v>4</v>
      </c>
      <c r="P831" s="22">
        <f t="shared" si="2"/>
        <v>80</v>
      </c>
      <c r="Q831" s="132" t="s">
        <v>63</v>
      </c>
      <c r="R831" s="132" t="str">
        <f t="shared" si="3"/>
        <v>X</v>
      </c>
      <c r="S831" s="133" t="s">
        <v>60</v>
      </c>
      <c r="T831" s="26" t="str">
        <f>IF('PL1(Full)'!$N831&gt;=20,"x",IF(AND('PL1(Full)'!$N831&gt;=15,'PL1(Full)'!$P831&gt;60),"x",""))</f>
        <v>x</v>
      </c>
      <c r="U831" s="27" t="str">
        <f>IF(AND('PL1(Full)'!$H831="Thôn",'PL1(Full)'!$I831&lt;75),"x",IF(AND('PL1(Full)'!$H831="Tổ",'PL1(Full)'!$I831&lt;100),"x","-"))</f>
        <v>x</v>
      </c>
      <c r="V831" s="28" t="str">
        <f>IF(AND('PL1(Full)'!$H831="Thôn",'PL1(Full)'!$I831&lt;140),"x",IF(AND('PL1(Full)'!$H831="Tổ",'PL1(Full)'!$I831&lt;210),"x","-"))</f>
        <v>x</v>
      </c>
      <c r="W831" s="29" t="str">
        <f t="shared" si="148"/>
        <v>Loại 3</v>
      </c>
      <c r="X831" s="18"/>
    </row>
    <row r="832" spans="1:24" ht="15.75" customHeight="1">
      <c r="A832" s="30">
        <f>_xlfn.AGGREGATE(4,7,A$6:A831)+1</f>
        <v>608</v>
      </c>
      <c r="B832" s="66" t="str">
        <f t="shared" si="147"/>
        <v>H. Na Rì</v>
      </c>
      <c r="C832" s="33" t="str">
        <f t="shared" ref="C832:C849" si="159">C831</f>
        <v>X. Sơn Thành</v>
      </c>
      <c r="D832" s="32"/>
      <c r="E832" s="32" t="s">
        <v>58</v>
      </c>
      <c r="F832" s="33" t="s">
        <v>515</v>
      </c>
      <c r="G832" s="32"/>
      <c r="H832" s="32" t="str">
        <f>IF(LEFT('PL1(Full)'!$F832,4)="Thôn","Thôn","Tổ")</f>
        <v>Thôn</v>
      </c>
      <c r="I832" s="35">
        <v>44</v>
      </c>
      <c r="J832" s="35">
        <v>201</v>
      </c>
      <c r="K832" s="35">
        <v>44</v>
      </c>
      <c r="L832" s="37">
        <f t="shared" si="0"/>
        <v>100</v>
      </c>
      <c r="M832" s="35">
        <v>18</v>
      </c>
      <c r="N832" s="38">
        <f t="shared" si="1"/>
        <v>40.909090909090907</v>
      </c>
      <c r="O832" s="35">
        <v>18</v>
      </c>
      <c r="P832" s="38">
        <f t="shared" si="2"/>
        <v>100</v>
      </c>
      <c r="Q832" s="134" t="s">
        <v>63</v>
      </c>
      <c r="R832" s="134" t="str">
        <f t="shared" si="3"/>
        <v>X</v>
      </c>
      <c r="S832" s="135" t="s">
        <v>60</v>
      </c>
      <c r="T832" s="34" t="str">
        <f>IF('PL1(Full)'!$N832&gt;=20,"x",IF(AND('PL1(Full)'!$N832&gt;=15,'PL1(Full)'!$P832&gt;60),"x",""))</f>
        <v>x</v>
      </c>
      <c r="U832" s="34" t="str">
        <f>IF(AND('PL1(Full)'!$H832="Thôn",'PL1(Full)'!$I832&lt;75),"x",IF(AND('PL1(Full)'!$H832="Tổ",'PL1(Full)'!$I832&lt;100),"x","-"))</f>
        <v>x</v>
      </c>
      <c r="V832" s="34" t="str">
        <f>IF(AND('PL1(Full)'!$H832="Thôn",'PL1(Full)'!$I832&lt;140),"x",IF(AND('PL1(Full)'!$H832="Tổ",'PL1(Full)'!$I832&lt;210),"x","-"))</f>
        <v>x</v>
      </c>
      <c r="W832" s="40" t="str">
        <f t="shared" si="148"/>
        <v>Loại 3</v>
      </c>
      <c r="X832" s="32"/>
    </row>
    <row r="833" spans="1:24" ht="15.75" customHeight="1">
      <c r="A833" s="30">
        <f>_xlfn.AGGREGATE(4,7,A$6:A832)+1</f>
        <v>609</v>
      </c>
      <c r="B833" s="66" t="str">
        <f t="shared" si="147"/>
        <v>H. Na Rì</v>
      </c>
      <c r="C833" s="33" t="str">
        <f t="shared" si="159"/>
        <v>X. Sơn Thành</v>
      </c>
      <c r="D833" s="32"/>
      <c r="E833" s="32" t="s">
        <v>58</v>
      </c>
      <c r="F833" s="33" t="s">
        <v>912</v>
      </c>
      <c r="G833" s="32"/>
      <c r="H833" s="32" t="str">
        <f>IF(LEFT('PL1(Full)'!$F833,4)="Thôn","Thôn","Tổ")</f>
        <v>Thôn</v>
      </c>
      <c r="I833" s="35">
        <v>17</v>
      </c>
      <c r="J833" s="35">
        <v>76</v>
      </c>
      <c r="K833" s="35">
        <v>17</v>
      </c>
      <c r="L833" s="37">
        <f t="shared" si="0"/>
        <v>100</v>
      </c>
      <c r="M833" s="35">
        <v>5</v>
      </c>
      <c r="N833" s="38">
        <f t="shared" si="1"/>
        <v>29.411764705882351</v>
      </c>
      <c r="O833" s="35">
        <v>5</v>
      </c>
      <c r="P833" s="38">
        <f t="shared" si="2"/>
        <v>100</v>
      </c>
      <c r="Q833" s="134" t="s">
        <v>63</v>
      </c>
      <c r="R833" s="134" t="str">
        <f t="shared" si="3"/>
        <v>X</v>
      </c>
      <c r="S833" s="135" t="s">
        <v>60</v>
      </c>
      <c r="T833" s="34" t="str">
        <f>IF('PL1(Full)'!$N833&gt;=20,"x",IF(AND('PL1(Full)'!$N833&gt;=15,'PL1(Full)'!$P833&gt;60),"x",""))</f>
        <v>x</v>
      </c>
      <c r="U833" s="34" t="str">
        <f>IF(AND('PL1(Full)'!$H833="Thôn",'PL1(Full)'!$I833&lt;75),"x",IF(AND('PL1(Full)'!$H833="Tổ",'PL1(Full)'!$I833&lt;100),"x","-"))</f>
        <v>x</v>
      </c>
      <c r="V833" s="34" t="str">
        <f>IF(AND('PL1(Full)'!$H833="Thôn",'PL1(Full)'!$I833&lt;140),"x",IF(AND('PL1(Full)'!$H833="Tổ",'PL1(Full)'!$I833&lt;210),"x","-"))</f>
        <v>x</v>
      </c>
      <c r="W833" s="40" t="str">
        <f t="shared" si="148"/>
        <v>Loại 3</v>
      </c>
      <c r="X833" s="32"/>
    </row>
    <row r="834" spans="1:24" ht="15.75" customHeight="1">
      <c r="A834" s="30">
        <f>_xlfn.AGGREGATE(4,7,A$6:A833)+1</f>
        <v>610</v>
      </c>
      <c r="B834" s="66" t="str">
        <f t="shared" si="147"/>
        <v>H. Na Rì</v>
      </c>
      <c r="C834" s="33" t="str">
        <f t="shared" si="159"/>
        <v>X. Sơn Thành</v>
      </c>
      <c r="D834" s="32"/>
      <c r="E834" s="32" t="s">
        <v>58</v>
      </c>
      <c r="F834" s="33" t="s">
        <v>913</v>
      </c>
      <c r="G834" s="32"/>
      <c r="H834" s="32" t="str">
        <f>IF(LEFT('PL1(Full)'!$F834,4)="Thôn","Thôn","Tổ")</f>
        <v>Thôn</v>
      </c>
      <c r="I834" s="35">
        <v>31</v>
      </c>
      <c r="J834" s="35">
        <v>131</v>
      </c>
      <c r="K834" s="35">
        <v>32</v>
      </c>
      <c r="L834" s="37">
        <f t="shared" si="0"/>
        <v>103.2258064516129</v>
      </c>
      <c r="M834" s="35">
        <v>16</v>
      </c>
      <c r="N834" s="38">
        <f t="shared" si="1"/>
        <v>51.612903225806448</v>
      </c>
      <c r="O834" s="35">
        <v>16</v>
      </c>
      <c r="P834" s="38">
        <f t="shared" si="2"/>
        <v>100</v>
      </c>
      <c r="Q834" s="134" t="s">
        <v>63</v>
      </c>
      <c r="R834" s="134" t="str">
        <f t="shared" si="3"/>
        <v>X</v>
      </c>
      <c r="S834" s="135" t="s">
        <v>60</v>
      </c>
      <c r="T834" s="34" t="str">
        <f>IF('PL1(Full)'!$N834&gt;=20,"x",IF(AND('PL1(Full)'!$N834&gt;=15,'PL1(Full)'!$P834&gt;60),"x",""))</f>
        <v>x</v>
      </c>
      <c r="U834" s="34" t="str">
        <f>IF(AND('PL1(Full)'!$H834="Thôn",'PL1(Full)'!$I834&lt;75),"x",IF(AND('PL1(Full)'!$H834="Tổ",'PL1(Full)'!$I834&lt;100),"x","-"))</f>
        <v>x</v>
      </c>
      <c r="V834" s="34" t="str">
        <f>IF(AND('PL1(Full)'!$H834="Thôn",'PL1(Full)'!$I834&lt;140),"x",IF(AND('PL1(Full)'!$H834="Tổ",'PL1(Full)'!$I834&lt;210),"x","-"))</f>
        <v>x</v>
      </c>
      <c r="W834" s="40" t="str">
        <f t="shared" si="148"/>
        <v>Loại 3</v>
      </c>
      <c r="X834" s="32"/>
    </row>
    <row r="835" spans="1:24" ht="15.75" customHeight="1">
      <c r="A835" s="30">
        <f>_xlfn.AGGREGATE(4,7,A$6:A834)+1</f>
        <v>611</v>
      </c>
      <c r="B835" s="66" t="str">
        <f t="shared" si="147"/>
        <v>H. Na Rì</v>
      </c>
      <c r="C835" s="33" t="str">
        <f t="shared" si="159"/>
        <v>X. Sơn Thành</v>
      </c>
      <c r="D835" s="32"/>
      <c r="E835" s="32" t="s">
        <v>58</v>
      </c>
      <c r="F835" s="33" t="s">
        <v>914</v>
      </c>
      <c r="G835" s="32"/>
      <c r="H835" s="32" t="str">
        <f>IF(LEFT('PL1(Full)'!$F835,4)="Thôn","Thôn","Tổ")</f>
        <v>Thôn</v>
      </c>
      <c r="I835" s="35">
        <v>26</v>
      </c>
      <c r="J835" s="35">
        <v>107</v>
      </c>
      <c r="K835" s="35">
        <v>26</v>
      </c>
      <c r="L835" s="37">
        <f t="shared" si="0"/>
        <v>100</v>
      </c>
      <c r="M835" s="35">
        <v>9</v>
      </c>
      <c r="N835" s="38">
        <f t="shared" si="1"/>
        <v>34.615384615384613</v>
      </c>
      <c r="O835" s="35">
        <v>9</v>
      </c>
      <c r="P835" s="38">
        <f t="shared" si="2"/>
        <v>100</v>
      </c>
      <c r="Q835" s="134" t="s">
        <v>63</v>
      </c>
      <c r="R835" s="134" t="str">
        <f t="shared" si="3"/>
        <v>X</v>
      </c>
      <c r="S835" s="135" t="s">
        <v>60</v>
      </c>
      <c r="T835" s="34" t="str">
        <f>IF('PL1(Full)'!$N835&gt;=20,"x",IF(AND('PL1(Full)'!$N835&gt;=15,'PL1(Full)'!$P835&gt;60),"x",""))</f>
        <v>x</v>
      </c>
      <c r="U835" s="34" t="str">
        <f>IF(AND('PL1(Full)'!$H835="Thôn",'PL1(Full)'!$I835&lt;75),"x",IF(AND('PL1(Full)'!$H835="Tổ",'PL1(Full)'!$I835&lt;100),"x","-"))</f>
        <v>x</v>
      </c>
      <c r="V835" s="34" t="str">
        <f>IF(AND('PL1(Full)'!$H835="Thôn",'PL1(Full)'!$I835&lt;140),"x",IF(AND('PL1(Full)'!$H835="Tổ",'PL1(Full)'!$I835&lt;210),"x","-"))</f>
        <v>x</v>
      </c>
      <c r="W835" s="40" t="str">
        <f t="shared" si="148"/>
        <v>Loại 3</v>
      </c>
      <c r="X835" s="32"/>
    </row>
    <row r="836" spans="1:24" ht="15.75" hidden="1" customHeight="1">
      <c r="A836" s="30">
        <f>_xlfn.AGGREGATE(4,7,A$6:A835)+1</f>
        <v>612</v>
      </c>
      <c r="B836" s="66" t="str">
        <f t="shared" si="147"/>
        <v>H. Na Rì</v>
      </c>
      <c r="C836" s="33" t="str">
        <f t="shared" si="159"/>
        <v>X. Sơn Thành</v>
      </c>
      <c r="D836" s="32"/>
      <c r="E836" s="32" t="s">
        <v>58</v>
      </c>
      <c r="F836" s="33" t="s">
        <v>155</v>
      </c>
      <c r="G836" s="32"/>
      <c r="H836" s="32" t="str">
        <f>IF(LEFT('PL1(Full)'!$F836,4)="Thôn","Thôn","Tổ")</f>
        <v>Thôn</v>
      </c>
      <c r="I836" s="35">
        <v>96</v>
      </c>
      <c r="J836" s="35">
        <v>433</v>
      </c>
      <c r="K836" s="35">
        <v>96</v>
      </c>
      <c r="L836" s="37">
        <f t="shared" si="0"/>
        <v>100</v>
      </c>
      <c r="M836" s="35">
        <v>82</v>
      </c>
      <c r="N836" s="38">
        <f t="shared" si="1"/>
        <v>85.416666666666671</v>
      </c>
      <c r="O836" s="35">
        <v>82</v>
      </c>
      <c r="P836" s="38">
        <f t="shared" si="2"/>
        <v>100</v>
      </c>
      <c r="Q836" s="134" t="s">
        <v>63</v>
      </c>
      <c r="R836" s="134" t="str">
        <f t="shared" si="3"/>
        <v>X</v>
      </c>
      <c r="S836" s="135" t="s">
        <v>60</v>
      </c>
      <c r="T836" s="34" t="str">
        <f>IF('PL1(Full)'!$N836&gt;=20,"x",IF(AND('PL1(Full)'!$N836&gt;=15,'PL1(Full)'!$P836&gt;60),"x",""))</f>
        <v>x</v>
      </c>
      <c r="U836" s="34" t="str">
        <f>IF(AND('PL1(Full)'!$H836="Thôn",'PL1(Full)'!$I836&lt;75),"x",IF(AND('PL1(Full)'!$H836="Tổ",'PL1(Full)'!$I836&lt;100),"x","-"))</f>
        <v>-</v>
      </c>
      <c r="V836" s="34" t="str">
        <f>IF(AND('PL1(Full)'!$H836="Thôn",'PL1(Full)'!$I836&lt;140),"x",IF(AND('PL1(Full)'!$H836="Tổ",'PL1(Full)'!$I836&lt;210),"x","-"))</f>
        <v>x</v>
      </c>
      <c r="W836" s="40" t="str">
        <f t="shared" si="148"/>
        <v>Loại 3</v>
      </c>
      <c r="X836" s="32"/>
    </row>
    <row r="837" spans="1:24" ht="15.75" customHeight="1">
      <c r="A837" s="30">
        <f>_xlfn.AGGREGATE(4,7,A$6:A836)+1</f>
        <v>612</v>
      </c>
      <c r="B837" s="66" t="str">
        <f t="shared" si="147"/>
        <v>H. Na Rì</v>
      </c>
      <c r="C837" s="33" t="str">
        <f t="shared" si="159"/>
        <v>X. Sơn Thành</v>
      </c>
      <c r="D837" s="32"/>
      <c r="E837" s="32" t="s">
        <v>58</v>
      </c>
      <c r="F837" s="33" t="s">
        <v>915</v>
      </c>
      <c r="G837" s="32"/>
      <c r="H837" s="32" t="str">
        <f>IF(LEFT('PL1(Full)'!$F837,4)="Thôn","Thôn","Tổ")</f>
        <v>Thôn</v>
      </c>
      <c r="I837" s="35">
        <v>25</v>
      </c>
      <c r="J837" s="35">
        <v>121</v>
      </c>
      <c r="K837" s="35">
        <v>25</v>
      </c>
      <c r="L837" s="37">
        <f t="shared" si="0"/>
        <v>100</v>
      </c>
      <c r="M837" s="35">
        <v>11</v>
      </c>
      <c r="N837" s="38">
        <f t="shared" si="1"/>
        <v>44</v>
      </c>
      <c r="O837" s="35">
        <v>11</v>
      </c>
      <c r="P837" s="38">
        <f t="shared" si="2"/>
        <v>100</v>
      </c>
      <c r="Q837" s="134" t="s">
        <v>63</v>
      </c>
      <c r="R837" s="134" t="str">
        <f t="shared" si="3"/>
        <v>X</v>
      </c>
      <c r="S837" s="135" t="s">
        <v>60</v>
      </c>
      <c r="T837" s="34" t="str">
        <f>IF('PL1(Full)'!$N837&gt;=20,"x",IF(AND('PL1(Full)'!$N837&gt;=15,'PL1(Full)'!$P837&gt;60),"x",""))</f>
        <v>x</v>
      </c>
      <c r="U837" s="34" t="str">
        <f>IF(AND('PL1(Full)'!$H837="Thôn",'PL1(Full)'!$I837&lt;75),"x",IF(AND('PL1(Full)'!$H837="Tổ",'PL1(Full)'!$I837&lt;100),"x","-"))</f>
        <v>x</v>
      </c>
      <c r="V837" s="34" t="str">
        <f>IF(AND('PL1(Full)'!$H837="Thôn",'PL1(Full)'!$I837&lt;140),"x",IF(AND('PL1(Full)'!$H837="Tổ",'PL1(Full)'!$I837&lt;210),"x","-"))</f>
        <v>x</v>
      </c>
      <c r="W837" s="40" t="str">
        <f t="shared" si="148"/>
        <v>Loại 3</v>
      </c>
      <c r="X837" s="32"/>
    </row>
    <row r="838" spans="1:24" ht="15.75" customHeight="1">
      <c r="A838" s="30">
        <f>_xlfn.AGGREGATE(4,7,A$6:A837)+1</f>
        <v>613</v>
      </c>
      <c r="B838" s="66" t="str">
        <f t="shared" si="147"/>
        <v>H. Na Rì</v>
      </c>
      <c r="C838" s="33" t="str">
        <f t="shared" si="159"/>
        <v>X. Sơn Thành</v>
      </c>
      <c r="D838" s="32"/>
      <c r="E838" s="32" t="s">
        <v>58</v>
      </c>
      <c r="F838" s="33" t="s">
        <v>916</v>
      </c>
      <c r="G838" s="32"/>
      <c r="H838" s="32" t="str">
        <f>IF(LEFT('PL1(Full)'!$F838,4)="Thôn","Thôn","Tổ")</f>
        <v>Thôn</v>
      </c>
      <c r="I838" s="35">
        <v>49</v>
      </c>
      <c r="J838" s="35">
        <v>216</v>
      </c>
      <c r="K838" s="35">
        <v>49</v>
      </c>
      <c r="L838" s="37">
        <f t="shared" si="0"/>
        <v>100</v>
      </c>
      <c r="M838" s="35">
        <v>16</v>
      </c>
      <c r="N838" s="38">
        <f t="shared" si="1"/>
        <v>32.653061224489797</v>
      </c>
      <c r="O838" s="35">
        <v>16</v>
      </c>
      <c r="P838" s="38">
        <f t="shared" si="2"/>
        <v>100</v>
      </c>
      <c r="Q838" s="134" t="s">
        <v>63</v>
      </c>
      <c r="R838" s="134" t="str">
        <f t="shared" si="3"/>
        <v>X</v>
      </c>
      <c r="S838" s="135" t="s">
        <v>60</v>
      </c>
      <c r="T838" s="34" t="str">
        <f>IF('PL1(Full)'!$N838&gt;=20,"x",IF(AND('PL1(Full)'!$N838&gt;=15,'PL1(Full)'!$P838&gt;60),"x",""))</f>
        <v>x</v>
      </c>
      <c r="U838" s="34" t="str">
        <f>IF(AND('PL1(Full)'!$H838="Thôn",'PL1(Full)'!$I838&lt;75),"x",IF(AND('PL1(Full)'!$H838="Tổ",'PL1(Full)'!$I838&lt;100),"x","-"))</f>
        <v>x</v>
      </c>
      <c r="V838" s="34" t="str">
        <f>IF(AND('PL1(Full)'!$H838="Thôn",'PL1(Full)'!$I838&lt;140),"x",IF(AND('PL1(Full)'!$H838="Tổ",'PL1(Full)'!$I838&lt;210),"x","-"))</f>
        <v>x</v>
      </c>
      <c r="W838" s="40" t="str">
        <f t="shared" si="148"/>
        <v>Loại 3</v>
      </c>
      <c r="X838" s="32"/>
    </row>
    <row r="839" spans="1:24" ht="15.75" customHeight="1">
      <c r="A839" s="30">
        <f>_xlfn.AGGREGATE(4,7,A$6:A838)+1</f>
        <v>614</v>
      </c>
      <c r="B839" s="66" t="str">
        <f t="shared" si="147"/>
        <v>H. Na Rì</v>
      </c>
      <c r="C839" s="33" t="str">
        <f t="shared" si="159"/>
        <v>X. Sơn Thành</v>
      </c>
      <c r="D839" s="32"/>
      <c r="E839" s="32" t="s">
        <v>58</v>
      </c>
      <c r="F839" s="33" t="s">
        <v>362</v>
      </c>
      <c r="G839" s="32"/>
      <c r="H839" s="32" t="str">
        <f>IF(LEFT('PL1(Full)'!$F839,4)="Thôn","Thôn","Tổ")</f>
        <v>Thôn</v>
      </c>
      <c r="I839" s="35">
        <v>17</v>
      </c>
      <c r="J839" s="35">
        <v>86</v>
      </c>
      <c r="K839" s="35">
        <v>17</v>
      </c>
      <c r="L839" s="37">
        <f t="shared" si="0"/>
        <v>100</v>
      </c>
      <c r="M839" s="35">
        <v>11</v>
      </c>
      <c r="N839" s="38">
        <f t="shared" si="1"/>
        <v>64.705882352941174</v>
      </c>
      <c r="O839" s="35">
        <v>11</v>
      </c>
      <c r="P839" s="38">
        <f t="shared" si="2"/>
        <v>100</v>
      </c>
      <c r="Q839" s="134" t="s">
        <v>63</v>
      </c>
      <c r="R839" s="134" t="str">
        <f t="shared" si="3"/>
        <v>X</v>
      </c>
      <c r="S839" s="135" t="s">
        <v>60</v>
      </c>
      <c r="T839" s="34" t="str">
        <f>IF('PL1(Full)'!$N839&gt;=20,"x",IF(AND('PL1(Full)'!$N839&gt;=15,'PL1(Full)'!$P839&gt;60),"x",""))</f>
        <v>x</v>
      </c>
      <c r="U839" s="34" t="str">
        <f>IF(AND('PL1(Full)'!$H839="Thôn",'PL1(Full)'!$I839&lt;75),"x",IF(AND('PL1(Full)'!$H839="Tổ",'PL1(Full)'!$I839&lt;100),"x","-"))</f>
        <v>x</v>
      </c>
      <c r="V839" s="34" t="str">
        <f>IF(AND('PL1(Full)'!$H839="Thôn",'PL1(Full)'!$I839&lt;140),"x",IF(AND('PL1(Full)'!$H839="Tổ",'PL1(Full)'!$I839&lt;210),"x","-"))</f>
        <v>x</v>
      </c>
      <c r="W839" s="40" t="str">
        <f t="shared" si="148"/>
        <v>Loại 3</v>
      </c>
      <c r="X839" s="32"/>
    </row>
    <row r="840" spans="1:24" ht="15.75" customHeight="1">
      <c r="A840" s="30">
        <f>_xlfn.AGGREGATE(4,7,A$6:A839)+1</f>
        <v>615</v>
      </c>
      <c r="B840" s="66" t="str">
        <f t="shared" si="147"/>
        <v>H. Na Rì</v>
      </c>
      <c r="C840" s="33" t="str">
        <f t="shared" si="159"/>
        <v>X. Sơn Thành</v>
      </c>
      <c r="D840" s="32"/>
      <c r="E840" s="32" t="s">
        <v>58</v>
      </c>
      <c r="F840" s="33" t="s">
        <v>917</v>
      </c>
      <c r="G840" s="32"/>
      <c r="H840" s="32" t="str">
        <f>IF(LEFT('PL1(Full)'!$F840,4)="Thôn","Thôn","Tổ")</f>
        <v>Thôn</v>
      </c>
      <c r="I840" s="35">
        <v>45</v>
      </c>
      <c r="J840" s="35">
        <v>195</v>
      </c>
      <c r="K840" s="35">
        <v>45</v>
      </c>
      <c r="L840" s="37">
        <f t="shared" si="0"/>
        <v>100</v>
      </c>
      <c r="M840" s="35">
        <v>16</v>
      </c>
      <c r="N840" s="38">
        <f t="shared" si="1"/>
        <v>35.555555555555557</v>
      </c>
      <c r="O840" s="35">
        <v>16</v>
      </c>
      <c r="P840" s="38">
        <f t="shared" si="2"/>
        <v>100</v>
      </c>
      <c r="Q840" s="134" t="s">
        <v>63</v>
      </c>
      <c r="R840" s="134" t="str">
        <f t="shared" si="3"/>
        <v>X</v>
      </c>
      <c r="S840" s="135" t="s">
        <v>60</v>
      </c>
      <c r="T840" s="34" t="str">
        <f>IF('PL1(Full)'!$N840&gt;=20,"x",IF(AND('PL1(Full)'!$N840&gt;=15,'PL1(Full)'!$P840&gt;60),"x",""))</f>
        <v>x</v>
      </c>
      <c r="U840" s="34" t="str">
        <f>IF(AND('PL1(Full)'!$H840="Thôn",'PL1(Full)'!$I840&lt;75),"x",IF(AND('PL1(Full)'!$H840="Tổ",'PL1(Full)'!$I840&lt;100),"x","-"))</f>
        <v>x</v>
      </c>
      <c r="V840" s="34" t="str">
        <f>IF(AND('PL1(Full)'!$H840="Thôn",'PL1(Full)'!$I840&lt;140),"x",IF(AND('PL1(Full)'!$H840="Tổ",'PL1(Full)'!$I840&lt;210),"x","-"))</f>
        <v>x</v>
      </c>
      <c r="W840" s="40" t="str">
        <f t="shared" si="148"/>
        <v>Loại 3</v>
      </c>
      <c r="X840" s="32"/>
    </row>
    <row r="841" spans="1:24" ht="15.75" customHeight="1">
      <c r="A841" s="30">
        <f>_xlfn.AGGREGATE(4,7,A$6:A840)+1</f>
        <v>616</v>
      </c>
      <c r="B841" s="66" t="str">
        <f t="shared" si="147"/>
        <v>H. Na Rì</v>
      </c>
      <c r="C841" s="33" t="str">
        <f t="shared" si="159"/>
        <v>X. Sơn Thành</v>
      </c>
      <c r="D841" s="32"/>
      <c r="E841" s="32" t="s">
        <v>58</v>
      </c>
      <c r="F841" s="33" t="s">
        <v>918</v>
      </c>
      <c r="G841" s="32"/>
      <c r="H841" s="32" t="str">
        <f>IF(LEFT('PL1(Full)'!$F841,4)="Thôn","Thôn","Tổ")</f>
        <v>Thôn</v>
      </c>
      <c r="I841" s="35">
        <v>33</v>
      </c>
      <c r="J841" s="35">
        <v>147</v>
      </c>
      <c r="K841" s="35">
        <v>33</v>
      </c>
      <c r="L841" s="37">
        <f t="shared" si="0"/>
        <v>100</v>
      </c>
      <c r="M841" s="35">
        <v>15</v>
      </c>
      <c r="N841" s="38">
        <f t="shared" si="1"/>
        <v>45.454545454545453</v>
      </c>
      <c r="O841" s="35">
        <v>15</v>
      </c>
      <c r="P841" s="38">
        <f t="shared" si="2"/>
        <v>100</v>
      </c>
      <c r="Q841" s="134" t="s">
        <v>63</v>
      </c>
      <c r="R841" s="134" t="str">
        <f t="shared" si="3"/>
        <v>X</v>
      </c>
      <c r="S841" s="135" t="s">
        <v>60</v>
      </c>
      <c r="T841" s="34" t="str">
        <f>IF('PL1(Full)'!$N841&gt;=20,"x",IF(AND('PL1(Full)'!$N841&gt;=15,'PL1(Full)'!$P841&gt;60),"x",""))</f>
        <v>x</v>
      </c>
      <c r="U841" s="34" t="str">
        <f>IF(AND('PL1(Full)'!$H841="Thôn",'PL1(Full)'!$I841&lt;75),"x",IF(AND('PL1(Full)'!$H841="Tổ",'PL1(Full)'!$I841&lt;100),"x","-"))</f>
        <v>x</v>
      </c>
      <c r="V841" s="34" t="str">
        <f>IF(AND('PL1(Full)'!$H841="Thôn",'PL1(Full)'!$I841&lt;140),"x",IF(AND('PL1(Full)'!$H841="Tổ",'PL1(Full)'!$I841&lt;210),"x","-"))</f>
        <v>x</v>
      </c>
      <c r="W841" s="40" t="str">
        <f t="shared" si="148"/>
        <v>Loại 3</v>
      </c>
      <c r="X841" s="32"/>
    </row>
    <row r="842" spans="1:24" ht="15.75" customHeight="1">
      <c r="A842" s="30">
        <f>_xlfn.AGGREGATE(4,7,A$6:A841)+1</f>
        <v>617</v>
      </c>
      <c r="B842" s="66" t="str">
        <f t="shared" si="147"/>
        <v>H. Na Rì</v>
      </c>
      <c r="C842" s="33" t="str">
        <f t="shared" si="159"/>
        <v>X. Sơn Thành</v>
      </c>
      <c r="D842" s="32"/>
      <c r="E842" s="32" t="s">
        <v>58</v>
      </c>
      <c r="F842" s="33" t="s">
        <v>919</v>
      </c>
      <c r="G842" s="32"/>
      <c r="H842" s="32" t="str">
        <f>IF(LEFT('PL1(Full)'!$F842,4)="Thôn","Thôn","Tổ")</f>
        <v>Thôn</v>
      </c>
      <c r="I842" s="35">
        <v>24</v>
      </c>
      <c r="J842" s="35">
        <v>92</v>
      </c>
      <c r="K842" s="35">
        <v>24</v>
      </c>
      <c r="L842" s="37">
        <f t="shared" si="0"/>
        <v>100</v>
      </c>
      <c r="M842" s="35">
        <v>10</v>
      </c>
      <c r="N842" s="38">
        <f t="shared" si="1"/>
        <v>41.666666666666664</v>
      </c>
      <c r="O842" s="35">
        <v>10</v>
      </c>
      <c r="P842" s="38">
        <f t="shared" si="2"/>
        <v>100</v>
      </c>
      <c r="Q842" s="134" t="s">
        <v>63</v>
      </c>
      <c r="R842" s="134" t="str">
        <f t="shared" si="3"/>
        <v>X</v>
      </c>
      <c r="S842" s="135" t="s">
        <v>60</v>
      </c>
      <c r="T842" s="34" t="str">
        <f>IF('PL1(Full)'!$N842&gt;=20,"x",IF(AND('PL1(Full)'!$N842&gt;=15,'PL1(Full)'!$P842&gt;60),"x",""))</f>
        <v>x</v>
      </c>
      <c r="U842" s="34" t="str">
        <f>IF(AND('PL1(Full)'!$H842="Thôn",'PL1(Full)'!$I842&lt;75),"x",IF(AND('PL1(Full)'!$H842="Tổ",'PL1(Full)'!$I842&lt;100),"x","-"))</f>
        <v>x</v>
      </c>
      <c r="V842" s="34" t="str">
        <f>IF(AND('PL1(Full)'!$H842="Thôn",'PL1(Full)'!$I842&lt;140),"x",IF(AND('PL1(Full)'!$H842="Tổ",'PL1(Full)'!$I842&lt;210),"x","-"))</f>
        <v>x</v>
      </c>
      <c r="W842" s="40" t="str">
        <f t="shared" si="148"/>
        <v>Loại 3</v>
      </c>
      <c r="X842" s="32"/>
    </row>
    <row r="843" spans="1:24" ht="15.75" customHeight="1">
      <c r="A843" s="30">
        <f>_xlfn.AGGREGATE(4,7,A$6:A842)+1</f>
        <v>618</v>
      </c>
      <c r="B843" s="66" t="str">
        <f t="shared" si="147"/>
        <v>H. Na Rì</v>
      </c>
      <c r="C843" s="33" t="str">
        <f t="shared" si="159"/>
        <v>X. Sơn Thành</v>
      </c>
      <c r="D843" s="32"/>
      <c r="E843" s="32" t="s">
        <v>58</v>
      </c>
      <c r="F843" s="33" t="s">
        <v>920</v>
      </c>
      <c r="G843" s="32"/>
      <c r="H843" s="32" t="str">
        <f>IF(LEFT('PL1(Full)'!$F843,4)="Thôn","Thôn","Tổ")</f>
        <v>Thôn</v>
      </c>
      <c r="I843" s="35">
        <v>60</v>
      </c>
      <c r="J843" s="35">
        <v>256</v>
      </c>
      <c r="K843" s="35">
        <v>60</v>
      </c>
      <c r="L843" s="37">
        <f t="shared" si="0"/>
        <v>100</v>
      </c>
      <c r="M843" s="35">
        <v>15</v>
      </c>
      <c r="N843" s="38">
        <f t="shared" si="1"/>
        <v>25</v>
      </c>
      <c r="O843" s="35">
        <v>15</v>
      </c>
      <c r="P843" s="38">
        <f t="shared" si="2"/>
        <v>100</v>
      </c>
      <c r="Q843" s="134" t="s">
        <v>63</v>
      </c>
      <c r="R843" s="134" t="str">
        <f t="shared" si="3"/>
        <v>X</v>
      </c>
      <c r="S843" s="135" t="s">
        <v>60</v>
      </c>
      <c r="T843" s="34" t="str">
        <f>IF('PL1(Full)'!$N843&gt;=20,"x",IF(AND('PL1(Full)'!$N843&gt;=15,'PL1(Full)'!$P843&gt;60),"x",""))</f>
        <v>x</v>
      </c>
      <c r="U843" s="34" t="str">
        <f>IF(AND('PL1(Full)'!$H843="Thôn",'PL1(Full)'!$I843&lt;75),"x",IF(AND('PL1(Full)'!$H843="Tổ",'PL1(Full)'!$I843&lt;100),"x","-"))</f>
        <v>x</v>
      </c>
      <c r="V843" s="34" t="str">
        <f>IF(AND('PL1(Full)'!$H843="Thôn",'PL1(Full)'!$I843&lt;140),"x",IF(AND('PL1(Full)'!$H843="Tổ",'PL1(Full)'!$I843&lt;210),"x","-"))</f>
        <v>x</v>
      </c>
      <c r="W843" s="40" t="str">
        <f t="shared" si="148"/>
        <v>Loại 3</v>
      </c>
      <c r="X843" s="32"/>
    </row>
    <row r="844" spans="1:24" ht="15.75" customHeight="1">
      <c r="A844" s="30">
        <f>_xlfn.AGGREGATE(4,7,A$6:A843)+1</f>
        <v>619</v>
      </c>
      <c r="B844" s="66" t="str">
        <f t="shared" si="147"/>
        <v>H. Na Rì</v>
      </c>
      <c r="C844" s="33" t="str">
        <f t="shared" si="159"/>
        <v>X. Sơn Thành</v>
      </c>
      <c r="D844" s="32"/>
      <c r="E844" s="32" t="s">
        <v>58</v>
      </c>
      <c r="F844" s="33" t="s">
        <v>921</v>
      </c>
      <c r="G844" s="32"/>
      <c r="H844" s="32" t="str">
        <f>IF(LEFT('PL1(Full)'!$F844,4)="Thôn","Thôn","Tổ")</f>
        <v>Thôn</v>
      </c>
      <c r="I844" s="35">
        <v>34</v>
      </c>
      <c r="J844" s="35">
        <v>162</v>
      </c>
      <c r="K844" s="35">
        <v>34</v>
      </c>
      <c r="L844" s="37">
        <f t="shared" si="0"/>
        <v>100</v>
      </c>
      <c r="M844" s="35">
        <v>11</v>
      </c>
      <c r="N844" s="38">
        <f t="shared" si="1"/>
        <v>32.352941176470587</v>
      </c>
      <c r="O844" s="35">
        <v>11</v>
      </c>
      <c r="P844" s="38">
        <f t="shared" si="2"/>
        <v>100</v>
      </c>
      <c r="Q844" s="134" t="s">
        <v>63</v>
      </c>
      <c r="R844" s="134" t="str">
        <f t="shared" si="3"/>
        <v>X</v>
      </c>
      <c r="S844" s="135" t="s">
        <v>60</v>
      </c>
      <c r="T844" s="34" t="str">
        <f>IF('PL1(Full)'!$N844&gt;=20,"x",IF(AND('PL1(Full)'!$N844&gt;=15,'PL1(Full)'!$P844&gt;60),"x",""))</f>
        <v>x</v>
      </c>
      <c r="U844" s="34" t="str">
        <f>IF(AND('PL1(Full)'!$H844="Thôn",'PL1(Full)'!$I844&lt;75),"x",IF(AND('PL1(Full)'!$H844="Tổ",'PL1(Full)'!$I844&lt;100),"x","-"))</f>
        <v>x</v>
      </c>
      <c r="V844" s="34" t="str">
        <f>IF(AND('PL1(Full)'!$H844="Thôn",'PL1(Full)'!$I844&lt;140),"x",IF(AND('PL1(Full)'!$H844="Tổ",'PL1(Full)'!$I844&lt;210),"x","-"))</f>
        <v>x</v>
      </c>
      <c r="W844" s="40" t="str">
        <f t="shared" si="148"/>
        <v>Loại 3</v>
      </c>
      <c r="X844" s="32"/>
    </row>
    <row r="845" spans="1:24" ht="15.75" customHeight="1">
      <c r="A845" s="30">
        <f>_xlfn.AGGREGATE(4,7,A$6:A844)+1</f>
        <v>620</v>
      </c>
      <c r="B845" s="66" t="str">
        <f t="shared" si="147"/>
        <v>H. Na Rì</v>
      </c>
      <c r="C845" s="33" t="str">
        <f t="shared" si="159"/>
        <v>X. Sơn Thành</v>
      </c>
      <c r="D845" s="32"/>
      <c r="E845" s="32" t="s">
        <v>58</v>
      </c>
      <c r="F845" s="33" t="s">
        <v>922</v>
      </c>
      <c r="G845" s="32"/>
      <c r="H845" s="32" t="str">
        <f>IF(LEFT('PL1(Full)'!$F845,4)="Thôn","Thôn","Tổ")</f>
        <v>Thôn</v>
      </c>
      <c r="I845" s="35">
        <v>74</v>
      </c>
      <c r="J845" s="35">
        <v>254</v>
      </c>
      <c r="K845" s="35">
        <v>62</v>
      </c>
      <c r="L845" s="37">
        <f t="shared" si="0"/>
        <v>83.78378378378379</v>
      </c>
      <c r="M845" s="35">
        <v>8</v>
      </c>
      <c r="N845" s="38">
        <f t="shared" si="1"/>
        <v>10.810810810810811</v>
      </c>
      <c r="O845" s="35">
        <v>7</v>
      </c>
      <c r="P845" s="38">
        <f t="shared" si="2"/>
        <v>87.5</v>
      </c>
      <c r="Q845" s="134" t="s">
        <v>63</v>
      </c>
      <c r="R845" s="134" t="str">
        <f t="shared" si="3"/>
        <v>X</v>
      </c>
      <c r="S845" s="135"/>
      <c r="T845" s="34" t="str">
        <f>IF('PL1(Full)'!$N845&gt;=20,"x",IF(AND('PL1(Full)'!$N845&gt;=15,'PL1(Full)'!$P845&gt;60),"x",""))</f>
        <v/>
      </c>
      <c r="U845" s="34" t="str">
        <f>IF(AND('PL1(Full)'!$H845="Thôn",'PL1(Full)'!$I845&lt;75),"x",IF(AND('PL1(Full)'!$H845="Tổ",'PL1(Full)'!$I845&lt;100),"x","-"))</f>
        <v>x</v>
      </c>
      <c r="V845" s="34" t="str">
        <f>IF(AND('PL1(Full)'!$H845="Thôn",'PL1(Full)'!$I845&lt;140),"x",IF(AND('PL1(Full)'!$H845="Tổ",'PL1(Full)'!$I845&lt;210),"x","-"))</f>
        <v>x</v>
      </c>
      <c r="W845" s="40" t="str">
        <f t="shared" si="148"/>
        <v>Loại 3</v>
      </c>
      <c r="X845" s="32"/>
    </row>
    <row r="846" spans="1:24" ht="15.75" customHeight="1">
      <c r="A846" s="30">
        <f>_xlfn.AGGREGATE(4,7,A$6:A845)+1</f>
        <v>621</v>
      </c>
      <c r="B846" s="66" t="str">
        <f t="shared" si="147"/>
        <v>H. Na Rì</v>
      </c>
      <c r="C846" s="33" t="str">
        <f t="shared" si="159"/>
        <v>X. Sơn Thành</v>
      </c>
      <c r="D846" s="32"/>
      <c r="E846" s="32" t="s">
        <v>58</v>
      </c>
      <c r="F846" s="33" t="s">
        <v>923</v>
      </c>
      <c r="G846" s="32"/>
      <c r="H846" s="32" t="str">
        <f>IF(LEFT('PL1(Full)'!$F846,4)="Thôn","Thôn","Tổ")</f>
        <v>Thôn</v>
      </c>
      <c r="I846" s="35">
        <v>22</v>
      </c>
      <c r="J846" s="35">
        <v>116</v>
      </c>
      <c r="K846" s="35">
        <v>22</v>
      </c>
      <c r="L846" s="37">
        <f t="shared" si="0"/>
        <v>100</v>
      </c>
      <c r="M846" s="35">
        <v>6</v>
      </c>
      <c r="N846" s="38">
        <f t="shared" si="1"/>
        <v>27.272727272727273</v>
      </c>
      <c r="O846" s="35">
        <v>6</v>
      </c>
      <c r="P846" s="38">
        <f t="shared" si="2"/>
        <v>100</v>
      </c>
      <c r="Q846" s="134" t="s">
        <v>63</v>
      </c>
      <c r="R846" s="134" t="str">
        <f t="shared" si="3"/>
        <v>X</v>
      </c>
      <c r="S846" s="135" t="s">
        <v>60</v>
      </c>
      <c r="T846" s="34" t="str">
        <f>IF('PL1(Full)'!$N846&gt;=20,"x",IF(AND('PL1(Full)'!$N846&gt;=15,'PL1(Full)'!$P846&gt;60),"x",""))</f>
        <v>x</v>
      </c>
      <c r="U846" s="34" t="str">
        <f>IF(AND('PL1(Full)'!$H846="Thôn",'PL1(Full)'!$I846&lt;75),"x",IF(AND('PL1(Full)'!$H846="Tổ",'PL1(Full)'!$I846&lt;100),"x","-"))</f>
        <v>x</v>
      </c>
      <c r="V846" s="34" t="str">
        <f>IF(AND('PL1(Full)'!$H846="Thôn",'PL1(Full)'!$I846&lt;140),"x",IF(AND('PL1(Full)'!$H846="Tổ",'PL1(Full)'!$I846&lt;210),"x","-"))</f>
        <v>x</v>
      </c>
      <c r="W846" s="40" t="str">
        <f t="shared" si="148"/>
        <v>Loại 3</v>
      </c>
      <c r="X846" s="32"/>
    </row>
    <row r="847" spans="1:24" ht="15.75" customHeight="1">
      <c r="A847" s="30">
        <f>_xlfn.AGGREGATE(4,7,A$6:A846)+1</f>
        <v>622</v>
      </c>
      <c r="B847" s="66" t="str">
        <f t="shared" si="147"/>
        <v>H. Na Rì</v>
      </c>
      <c r="C847" s="33" t="str">
        <f t="shared" si="159"/>
        <v>X. Sơn Thành</v>
      </c>
      <c r="D847" s="32"/>
      <c r="E847" s="32" t="s">
        <v>58</v>
      </c>
      <c r="F847" s="33" t="s">
        <v>924</v>
      </c>
      <c r="G847" s="32"/>
      <c r="H847" s="32" t="str">
        <f>IF(LEFT('PL1(Full)'!$F847,4)="Thôn","Thôn","Tổ")</f>
        <v>Thôn</v>
      </c>
      <c r="I847" s="35">
        <v>40</v>
      </c>
      <c r="J847" s="35">
        <v>144</v>
      </c>
      <c r="K847" s="35">
        <v>39</v>
      </c>
      <c r="L847" s="37">
        <f t="shared" si="0"/>
        <v>97.5</v>
      </c>
      <c r="M847" s="35">
        <v>26</v>
      </c>
      <c r="N847" s="38">
        <f t="shared" si="1"/>
        <v>65</v>
      </c>
      <c r="O847" s="35">
        <v>26</v>
      </c>
      <c r="P847" s="38">
        <f t="shared" si="2"/>
        <v>100</v>
      </c>
      <c r="Q847" s="134" t="s">
        <v>63</v>
      </c>
      <c r="R847" s="134" t="str">
        <f t="shared" si="3"/>
        <v>X</v>
      </c>
      <c r="S847" s="135" t="s">
        <v>60</v>
      </c>
      <c r="T847" s="34" t="str">
        <f>IF('PL1(Full)'!$N847&gt;=20,"x",IF(AND('PL1(Full)'!$N847&gt;=15,'PL1(Full)'!$P847&gt;60),"x",""))</f>
        <v>x</v>
      </c>
      <c r="U847" s="34" t="str">
        <f>IF(AND('PL1(Full)'!$H847="Thôn",'PL1(Full)'!$I847&lt;75),"x",IF(AND('PL1(Full)'!$H847="Tổ",'PL1(Full)'!$I847&lt;100),"x","-"))</f>
        <v>x</v>
      </c>
      <c r="V847" s="34" t="str">
        <f>IF(AND('PL1(Full)'!$H847="Thôn",'PL1(Full)'!$I847&lt;140),"x",IF(AND('PL1(Full)'!$H847="Tổ",'PL1(Full)'!$I847&lt;210),"x","-"))</f>
        <v>x</v>
      </c>
      <c r="W847" s="40" t="str">
        <f t="shared" si="148"/>
        <v>Loại 3</v>
      </c>
      <c r="X847" s="32"/>
    </row>
    <row r="848" spans="1:24" ht="15.75" customHeight="1">
      <c r="A848" s="30">
        <f>_xlfn.AGGREGATE(4,7,A$6:A847)+1</f>
        <v>623</v>
      </c>
      <c r="B848" s="66" t="str">
        <f t="shared" si="147"/>
        <v>H. Na Rì</v>
      </c>
      <c r="C848" s="33" t="str">
        <f t="shared" si="159"/>
        <v>X. Sơn Thành</v>
      </c>
      <c r="D848" s="32"/>
      <c r="E848" s="32" t="s">
        <v>58</v>
      </c>
      <c r="F848" s="33" t="s">
        <v>925</v>
      </c>
      <c r="G848" s="32"/>
      <c r="H848" s="32" t="str">
        <f>IF(LEFT('PL1(Full)'!$F848,4)="Thôn","Thôn","Tổ")</f>
        <v>Thôn</v>
      </c>
      <c r="I848" s="35">
        <v>26</v>
      </c>
      <c r="J848" s="35">
        <v>103</v>
      </c>
      <c r="K848" s="35">
        <v>26</v>
      </c>
      <c r="L848" s="37">
        <f t="shared" si="0"/>
        <v>100</v>
      </c>
      <c r="M848" s="35">
        <v>8</v>
      </c>
      <c r="N848" s="38">
        <f t="shared" si="1"/>
        <v>30.76923076923077</v>
      </c>
      <c r="O848" s="35">
        <v>8</v>
      </c>
      <c r="P848" s="38">
        <f t="shared" si="2"/>
        <v>100</v>
      </c>
      <c r="Q848" s="134" t="s">
        <v>63</v>
      </c>
      <c r="R848" s="134" t="str">
        <f t="shared" si="3"/>
        <v>X</v>
      </c>
      <c r="S848" s="135"/>
      <c r="T848" s="34" t="str">
        <f>IF('PL1(Full)'!$N848&gt;=20,"x",IF(AND('PL1(Full)'!$N848&gt;=15,'PL1(Full)'!$P848&gt;60),"x",""))</f>
        <v>x</v>
      </c>
      <c r="U848" s="34" t="str">
        <f>IF(AND('PL1(Full)'!$H848="Thôn",'PL1(Full)'!$I848&lt;75),"x",IF(AND('PL1(Full)'!$H848="Tổ",'PL1(Full)'!$I848&lt;100),"x","-"))</f>
        <v>x</v>
      </c>
      <c r="V848" s="34" t="str">
        <f>IF(AND('PL1(Full)'!$H848="Thôn",'PL1(Full)'!$I848&lt;140),"x",IF(AND('PL1(Full)'!$H848="Tổ",'PL1(Full)'!$I848&lt;210),"x","-"))</f>
        <v>x</v>
      </c>
      <c r="W848" s="40" t="str">
        <f t="shared" si="148"/>
        <v>Loại 3</v>
      </c>
      <c r="X848" s="32"/>
    </row>
    <row r="849" spans="1:24" ht="15.75" hidden="1" customHeight="1">
      <c r="A849" s="41">
        <f>_xlfn.AGGREGATE(4,7,A$6:A848)+1</f>
        <v>624</v>
      </c>
      <c r="B849" s="67" t="str">
        <f t="shared" si="147"/>
        <v>H. Na Rì</v>
      </c>
      <c r="C849" s="44" t="str">
        <f t="shared" si="159"/>
        <v>X. Sơn Thành</v>
      </c>
      <c r="D849" s="43"/>
      <c r="E849" s="43" t="s">
        <v>58</v>
      </c>
      <c r="F849" s="44" t="s">
        <v>926</v>
      </c>
      <c r="G849" s="43"/>
      <c r="H849" s="43" t="str">
        <f>IF(LEFT('PL1(Full)'!$F849,4)="Thôn","Thôn","Tổ")</f>
        <v>Thôn</v>
      </c>
      <c r="I849" s="45">
        <v>85</v>
      </c>
      <c r="J849" s="45">
        <v>348</v>
      </c>
      <c r="K849" s="45">
        <v>85</v>
      </c>
      <c r="L849" s="47">
        <f t="shared" si="0"/>
        <v>100</v>
      </c>
      <c r="M849" s="45">
        <v>10</v>
      </c>
      <c r="N849" s="48">
        <f t="shared" si="1"/>
        <v>11.764705882352942</v>
      </c>
      <c r="O849" s="45">
        <v>10</v>
      </c>
      <c r="P849" s="48">
        <f t="shared" si="2"/>
        <v>100</v>
      </c>
      <c r="Q849" s="134" t="s">
        <v>63</v>
      </c>
      <c r="R849" s="144" t="str">
        <f t="shared" si="3"/>
        <v>X</v>
      </c>
      <c r="S849" s="137"/>
      <c r="T849" s="50" t="str">
        <f>IF('PL1(Full)'!$N849&gt;=20,"x",IF(AND('PL1(Full)'!$N849&gt;=15,'PL1(Full)'!$P849&gt;60),"x",""))</f>
        <v/>
      </c>
      <c r="U849" s="50" t="str">
        <f>IF(AND('PL1(Full)'!$H849="Thôn",'PL1(Full)'!$I849&lt;75),"x",IF(AND('PL1(Full)'!$H849="Tổ",'PL1(Full)'!$I849&lt;100),"x","-"))</f>
        <v>-</v>
      </c>
      <c r="V849" s="34" t="str">
        <f>IF(AND('PL1(Full)'!$H849="Thôn",'PL1(Full)'!$I849&lt;140),"x",IF(AND('PL1(Full)'!$H849="Tổ",'PL1(Full)'!$I849&lt;210),"x","-"))</f>
        <v>x</v>
      </c>
      <c r="W849" s="51" t="str">
        <f t="shared" si="148"/>
        <v>Loại 3</v>
      </c>
      <c r="X849" s="43"/>
    </row>
    <row r="850" spans="1:24" ht="15.75" customHeight="1">
      <c r="A850" s="52">
        <f>_xlfn.AGGREGATE(4,7,A$6:A849)+1</f>
        <v>624</v>
      </c>
      <c r="B850" s="65" t="str">
        <f t="shared" si="147"/>
        <v>H. Na Rì</v>
      </c>
      <c r="C850" s="14" t="s">
        <v>927</v>
      </c>
      <c r="D850" s="15" t="s">
        <v>58</v>
      </c>
      <c r="E850" s="16" t="s">
        <v>58</v>
      </c>
      <c r="F850" s="17" t="s">
        <v>882</v>
      </c>
      <c r="G850" s="18"/>
      <c r="H850" s="18" t="str">
        <f>IF(LEFT('PL1(Full)'!$F850,4)="Thôn","Thôn","Tổ")</f>
        <v>Thôn</v>
      </c>
      <c r="I850" s="19">
        <v>35</v>
      </c>
      <c r="J850" s="19">
        <v>145</v>
      </c>
      <c r="K850" s="19">
        <v>35</v>
      </c>
      <c r="L850" s="21">
        <f t="shared" si="0"/>
        <v>100</v>
      </c>
      <c r="M850" s="19">
        <v>18</v>
      </c>
      <c r="N850" s="22">
        <f t="shared" si="1"/>
        <v>51.428571428571431</v>
      </c>
      <c r="O850" s="19">
        <v>18</v>
      </c>
      <c r="P850" s="22">
        <f t="shared" si="2"/>
        <v>100</v>
      </c>
      <c r="Q850" s="132" t="s">
        <v>928</v>
      </c>
      <c r="R850" s="132" t="str">
        <f t="shared" si="3"/>
        <v>X</v>
      </c>
      <c r="S850" s="133" t="s">
        <v>60</v>
      </c>
      <c r="T850" s="26" t="str">
        <f>IF('PL1(Full)'!$N850&gt;=20,"x",IF(AND('PL1(Full)'!$N850&gt;=15,'PL1(Full)'!$P850&gt;60),"x",""))</f>
        <v>x</v>
      </c>
      <c r="U850" s="27" t="str">
        <f>IF(AND('PL1(Full)'!$H850="Thôn",'PL1(Full)'!$I850&lt;75),"x",IF(AND('PL1(Full)'!$H850="Tổ",'PL1(Full)'!$I850&lt;100),"x","-"))</f>
        <v>x</v>
      </c>
      <c r="V850" s="28" t="str">
        <f>IF(AND('PL1(Full)'!$H850="Thôn",'PL1(Full)'!$I850&lt;140),"x",IF(AND('PL1(Full)'!$H850="Tổ",'PL1(Full)'!$I850&lt;210),"x","-"))</f>
        <v>x</v>
      </c>
      <c r="W850" s="29" t="str">
        <f t="shared" si="148"/>
        <v>Loại 3</v>
      </c>
      <c r="X850" s="18"/>
    </row>
    <row r="851" spans="1:24" ht="15.75" customHeight="1">
      <c r="A851" s="30">
        <f>_xlfn.AGGREGATE(4,7,A$6:A850)+1</f>
        <v>625</v>
      </c>
      <c r="B851" s="66" t="str">
        <f t="shared" si="147"/>
        <v>H. Na Rì</v>
      </c>
      <c r="C851" s="33" t="str">
        <f t="shared" ref="C851:C870" si="160">C850</f>
        <v>X. Trần Phú</v>
      </c>
      <c r="D851" s="32"/>
      <c r="E851" s="32" t="s">
        <v>58</v>
      </c>
      <c r="F851" s="33" t="s">
        <v>929</v>
      </c>
      <c r="G851" s="32"/>
      <c r="H851" s="32" t="str">
        <f>IF(LEFT('PL1(Full)'!$F851,4)="Thôn","Thôn","Tổ")</f>
        <v>Thôn</v>
      </c>
      <c r="I851" s="35">
        <v>14</v>
      </c>
      <c r="J851" s="35">
        <v>59</v>
      </c>
      <c r="K851" s="35">
        <v>5</v>
      </c>
      <c r="L851" s="37">
        <f t="shared" si="0"/>
        <v>35.714285714285715</v>
      </c>
      <c r="M851" s="35">
        <v>7</v>
      </c>
      <c r="N851" s="38">
        <f t="shared" si="1"/>
        <v>50</v>
      </c>
      <c r="O851" s="35">
        <v>1</v>
      </c>
      <c r="P851" s="38">
        <f t="shared" si="2"/>
        <v>14.285714285714286</v>
      </c>
      <c r="Q851" s="134" t="s">
        <v>928</v>
      </c>
      <c r="R851" s="134" t="str">
        <f t="shared" si="3"/>
        <v>X</v>
      </c>
      <c r="S851" s="135"/>
      <c r="T851" s="34" t="str">
        <f>IF('PL1(Full)'!$N851&gt;=20,"x",IF(AND('PL1(Full)'!$N851&gt;=15,'PL1(Full)'!$P851&gt;60),"x",""))</f>
        <v>x</v>
      </c>
      <c r="U851" s="34" t="str">
        <f>IF(AND('PL1(Full)'!$H851="Thôn",'PL1(Full)'!$I851&lt;75),"x",IF(AND('PL1(Full)'!$H851="Tổ",'PL1(Full)'!$I851&lt;100),"x","-"))</f>
        <v>x</v>
      </c>
      <c r="V851" s="34" t="str">
        <f>IF(AND('PL1(Full)'!$H851="Thôn",'PL1(Full)'!$I851&lt;140),"x",IF(AND('PL1(Full)'!$H851="Tổ",'PL1(Full)'!$I851&lt;210),"x","-"))</f>
        <v>x</v>
      </c>
      <c r="W851" s="40" t="str">
        <f t="shared" si="148"/>
        <v>Loại 3</v>
      </c>
      <c r="X851" s="32"/>
    </row>
    <row r="852" spans="1:24" ht="15.75" customHeight="1">
      <c r="A852" s="30">
        <f>_xlfn.AGGREGATE(4,7,A$6:A851)+1</f>
        <v>626</v>
      </c>
      <c r="B852" s="66" t="str">
        <f t="shared" si="147"/>
        <v>H. Na Rì</v>
      </c>
      <c r="C852" s="33" t="str">
        <f t="shared" si="160"/>
        <v>X. Trần Phú</v>
      </c>
      <c r="D852" s="32"/>
      <c r="E852" s="32" t="s">
        <v>58</v>
      </c>
      <c r="F852" s="33" t="s">
        <v>930</v>
      </c>
      <c r="G852" s="32"/>
      <c r="H852" s="32" t="str">
        <f>IF(LEFT('PL1(Full)'!$F852,4)="Thôn","Thôn","Tổ")</f>
        <v>Thôn</v>
      </c>
      <c r="I852" s="35">
        <v>32</v>
      </c>
      <c r="J852" s="35">
        <v>129</v>
      </c>
      <c r="K852" s="35">
        <v>32</v>
      </c>
      <c r="L852" s="37">
        <f t="shared" si="0"/>
        <v>100</v>
      </c>
      <c r="M852" s="35">
        <v>12</v>
      </c>
      <c r="N852" s="38">
        <f t="shared" si="1"/>
        <v>37.5</v>
      </c>
      <c r="O852" s="35">
        <v>12</v>
      </c>
      <c r="P852" s="38">
        <f t="shared" si="2"/>
        <v>100</v>
      </c>
      <c r="Q852" s="134" t="s">
        <v>928</v>
      </c>
      <c r="R852" s="134" t="str">
        <f t="shared" si="3"/>
        <v>X</v>
      </c>
      <c r="S852" s="135" t="s">
        <v>60</v>
      </c>
      <c r="T852" s="34" t="str">
        <f>IF('PL1(Full)'!$N852&gt;=20,"x",IF(AND('PL1(Full)'!$N852&gt;=15,'PL1(Full)'!$P852&gt;60),"x",""))</f>
        <v>x</v>
      </c>
      <c r="U852" s="34" t="str">
        <f>IF(AND('PL1(Full)'!$H852="Thôn",'PL1(Full)'!$I852&lt;75),"x",IF(AND('PL1(Full)'!$H852="Tổ",'PL1(Full)'!$I852&lt;100),"x","-"))</f>
        <v>x</v>
      </c>
      <c r="V852" s="34" t="str">
        <f>IF(AND('PL1(Full)'!$H852="Thôn",'PL1(Full)'!$I852&lt;140),"x",IF(AND('PL1(Full)'!$H852="Tổ",'PL1(Full)'!$I852&lt;210),"x","-"))</f>
        <v>x</v>
      </c>
      <c r="W852" s="40" t="str">
        <f t="shared" si="148"/>
        <v>Loại 3</v>
      </c>
      <c r="X852" s="32"/>
    </row>
    <row r="853" spans="1:24" ht="15.75" customHeight="1">
      <c r="A853" s="30">
        <f>_xlfn.AGGREGATE(4,7,A$6:A852)+1</f>
        <v>627</v>
      </c>
      <c r="B853" s="66" t="str">
        <f t="shared" si="147"/>
        <v>H. Na Rì</v>
      </c>
      <c r="C853" s="33" t="str">
        <f t="shared" si="160"/>
        <v>X. Trần Phú</v>
      </c>
      <c r="D853" s="32"/>
      <c r="E853" s="32" t="s">
        <v>58</v>
      </c>
      <c r="F853" s="33" t="s">
        <v>931</v>
      </c>
      <c r="G853" s="32"/>
      <c r="H853" s="32" t="str">
        <f>IF(LEFT('PL1(Full)'!$F853,4)="Thôn","Thôn","Tổ")</f>
        <v>Thôn</v>
      </c>
      <c r="I853" s="35">
        <v>60</v>
      </c>
      <c r="J853" s="35">
        <v>261</v>
      </c>
      <c r="K853" s="35">
        <v>36</v>
      </c>
      <c r="L853" s="37">
        <f t="shared" si="0"/>
        <v>60</v>
      </c>
      <c r="M853" s="35">
        <v>10</v>
      </c>
      <c r="N853" s="38">
        <f t="shared" si="1"/>
        <v>16.666666666666668</v>
      </c>
      <c r="O853" s="35">
        <v>7</v>
      </c>
      <c r="P853" s="38">
        <f t="shared" si="2"/>
        <v>70</v>
      </c>
      <c r="Q853" s="134" t="s">
        <v>928</v>
      </c>
      <c r="R853" s="134" t="str">
        <f t="shared" si="3"/>
        <v>X</v>
      </c>
      <c r="S853" s="135"/>
      <c r="T853" s="34" t="str">
        <f>IF('PL1(Full)'!$N853&gt;=20,"x",IF(AND('PL1(Full)'!$N853&gt;=15,'PL1(Full)'!$P853&gt;60),"x",""))</f>
        <v>x</v>
      </c>
      <c r="U853" s="34" t="str">
        <f>IF(AND('PL1(Full)'!$H853="Thôn",'PL1(Full)'!$I853&lt;75),"x",IF(AND('PL1(Full)'!$H853="Tổ",'PL1(Full)'!$I853&lt;100),"x","-"))</f>
        <v>x</v>
      </c>
      <c r="V853" s="34" t="str">
        <f>IF(AND('PL1(Full)'!$H853="Thôn",'PL1(Full)'!$I853&lt;140),"x",IF(AND('PL1(Full)'!$H853="Tổ",'PL1(Full)'!$I853&lt;210),"x","-"))</f>
        <v>x</v>
      </c>
      <c r="W853" s="40" t="str">
        <f t="shared" si="148"/>
        <v>Loại 3</v>
      </c>
      <c r="X853" s="32"/>
    </row>
    <row r="854" spans="1:24" ht="15.75" customHeight="1">
      <c r="A854" s="30">
        <f>_xlfn.AGGREGATE(4,7,A$6:A853)+1</f>
        <v>628</v>
      </c>
      <c r="B854" s="66" t="str">
        <f t="shared" si="147"/>
        <v>H. Na Rì</v>
      </c>
      <c r="C854" s="33" t="str">
        <f t="shared" si="160"/>
        <v>X. Trần Phú</v>
      </c>
      <c r="D854" s="32"/>
      <c r="E854" s="32" t="s">
        <v>58</v>
      </c>
      <c r="F854" s="33" t="s">
        <v>932</v>
      </c>
      <c r="G854" s="32"/>
      <c r="H854" s="32" t="str">
        <f>IF(LEFT('PL1(Full)'!$F854,4)="Thôn","Thôn","Tổ")</f>
        <v>Thôn</v>
      </c>
      <c r="I854" s="35">
        <v>24</v>
      </c>
      <c r="J854" s="35">
        <v>98</v>
      </c>
      <c r="K854" s="35">
        <v>22</v>
      </c>
      <c r="L854" s="37">
        <f t="shared" si="0"/>
        <v>91.666666666666671</v>
      </c>
      <c r="M854" s="35">
        <v>4</v>
      </c>
      <c r="N854" s="38">
        <f t="shared" si="1"/>
        <v>16.666666666666668</v>
      </c>
      <c r="O854" s="35">
        <v>3</v>
      </c>
      <c r="P854" s="38">
        <f t="shared" si="2"/>
        <v>75</v>
      </c>
      <c r="Q854" s="134" t="s">
        <v>928</v>
      </c>
      <c r="R854" s="134" t="str">
        <f t="shared" si="3"/>
        <v>X</v>
      </c>
      <c r="S854" s="135"/>
      <c r="T854" s="34" t="str">
        <f>IF('PL1(Full)'!$N854&gt;=20,"x",IF(AND('PL1(Full)'!$N854&gt;=15,'PL1(Full)'!$P854&gt;60),"x",""))</f>
        <v>x</v>
      </c>
      <c r="U854" s="34" t="str">
        <f>IF(AND('PL1(Full)'!$H854="Thôn",'PL1(Full)'!$I854&lt;75),"x",IF(AND('PL1(Full)'!$H854="Tổ",'PL1(Full)'!$I854&lt;100),"x","-"))</f>
        <v>x</v>
      </c>
      <c r="V854" s="34" t="str">
        <f>IF(AND('PL1(Full)'!$H854="Thôn",'PL1(Full)'!$I854&lt;140),"x",IF(AND('PL1(Full)'!$H854="Tổ",'PL1(Full)'!$I854&lt;210),"x","-"))</f>
        <v>x</v>
      </c>
      <c r="W854" s="40" t="str">
        <f t="shared" si="148"/>
        <v>Loại 3</v>
      </c>
      <c r="X854" s="32"/>
    </row>
    <row r="855" spans="1:24" ht="15.75" customHeight="1">
      <c r="A855" s="30">
        <f>_xlfn.AGGREGATE(4,7,A$6:A854)+1</f>
        <v>629</v>
      </c>
      <c r="B855" s="66" t="str">
        <f t="shared" si="147"/>
        <v>H. Na Rì</v>
      </c>
      <c r="C855" s="33" t="str">
        <f t="shared" si="160"/>
        <v>X. Trần Phú</v>
      </c>
      <c r="D855" s="32"/>
      <c r="E855" s="32" t="s">
        <v>58</v>
      </c>
      <c r="F855" s="33" t="s">
        <v>933</v>
      </c>
      <c r="G855" s="32"/>
      <c r="H855" s="32" t="str">
        <f>IF(LEFT('PL1(Full)'!$F855,4)="Thôn","Thôn","Tổ")</f>
        <v>Thôn</v>
      </c>
      <c r="I855" s="35">
        <v>42</v>
      </c>
      <c r="J855" s="35">
        <v>160</v>
      </c>
      <c r="K855" s="35">
        <v>40</v>
      </c>
      <c r="L855" s="37">
        <f t="shared" si="0"/>
        <v>95.238095238095241</v>
      </c>
      <c r="M855" s="35">
        <v>19</v>
      </c>
      <c r="N855" s="38">
        <f t="shared" si="1"/>
        <v>45.238095238095241</v>
      </c>
      <c r="O855" s="35">
        <v>19</v>
      </c>
      <c r="P855" s="38">
        <f t="shared" si="2"/>
        <v>100</v>
      </c>
      <c r="Q855" s="134" t="s">
        <v>928</v>
      </c>
      <c r="R855" s="134" t="str">
        <f t="shared" si="3"/>
        <v>X</v>
      </c>
      <c r="S855" s="135" t="s">
        <v>60</v>
      </c>
      <c r="T855" s="34" t="str">
        <f>IF('PL1(Full)'!$N855&gt;=20,"x",IF(AND('PL1(Full)'!$N855&gt;=15,'PL1(Full)'!$P855&gt;60),"x",""))</f>
        <v>x</v>
      </c>
      <c r="U855" s="34" t="str">
        <f>IF(AND('PL1(Full)'!$H855="Thôn",'PL1(Full)'!$I855&lt;75),"x",IF(AND('PL1(Full)'!$H855="Tổ",'PL1(Full)'!$I855&lt;100),"x","-"))</f>
        <v>x</v>
      </c>
      <c r="V855" s="34" t="str">
        <f>IF(AND('PL1(Full)'!$H855="Thôn",'PL1(Full)'!$I855&lt;140),"x",IF(AND('PL1(Full)'!$H855="Tổ",'PL1(Full)'!$I855&lt;210),"x","-"))</f>
        <v>x</v>
      </c>
      <c r="W855" s="40" t="str">
        <f t="shared" si="148"/>
        <v>Loại 3</v>
      </c>
      <c r="X855" s="32"/>
    </row>
    <row r="856" spans="1:24" ht="15.75" customHeight="1">
      <c r="A856" s="30">
        <f>_xlfn.AGGREGATE(4,7,A$6:A855)+1</f>
        <v>630</v>
      </c>
      <c r="B856" s="66" t="str">
        <f t="shared" si="147"/>
        <v>H. Na Rì</v>
      </c>
      <c r="C856" s="33" t="str">
        <f t="shared" si="160"/>
        <v>X. Trần Phú</v>
      </c>
      <c r="D856" s="32"/>
      <c r="E856" s="32" t="s">
        <v>58</v>
      </c>
      <c r="F856" s="33" t="s">
        <v>934</v>
      </c>
      <c r="G856" s="32"/>
      <c r="H856" s="32" t="str">
        <f>IF(LEFT('PL1(Full)'!$F856,4)="Thôn","Thôn","Tổ")</f>
        <v>Thôn</v>
      </c>
      <c r="I856" s="35">
        <v>25</v>
      </c>
      <c r="J856" s="35">
        <v>116</v>
      </c>
      <c r="K856" s="35">
        <v>25</v>
      </c>
      <c r="L856" s="37">
        <f t="shared" si="0"/>
        <v>100</v>
      </c>
      <c r="M856" s="35">
        <v>5</v>
      </c>
      <c r="N856" s="38">
        <f t="shared" si="1"/>
        <v>20</v>
      </c>
      <c r="O856" s="35">
        <v>5</v>
      </c>
      <c r="P856" s="38">
        <f t="shared" si="2"/>
        <v>100</v>
      </c>
      <c r="Q856" s="134" t="s">
        <v>928</v>
      </c>
      <c r="R856" s="140" t="str">
        <f t="shared" si="3"/>
        <v>X</v>
      </c>
      <c r="S856" s="141" t="s">
        <v>60</v>
      </c>
      <c r="T856" s="34" t="str">
        <f>IF('PL1(Full)'!$N856&gt;=20,"x",IF(AND('PL1(Full)'!$N856&gt;=15,'PL1(Full)'!$P856&gt;60),"x",""))</f>
        <v>x</v>
      </c>
      <c r="U856" s="34" t="str">
        <f>IF(AND('PL1(Full)'!$H856="Thôn",'PL1(Full)'!$I856&lt;75),"x",IF(AND('PL1(Full)'!$H856="Tổ",'PL1(Full)'!$I856&lt;100),"x","-"))</f>
        <v>x</v>
      </c>
      <c r="V856" s="34" t="str">
        <f>IF(AND('PL1(Full)'!$H856="Thôn",'PL1(Full)'!$I856&lt;140),"x",IF(AND('PL1(Full)'!$H856="Tổ",'PL1(Full)'!$I856&lt;210),"x","-"))</f>
        <v>x</v>
      </c>
      <c r="W856" s="40" t="str">
        <f t="shared" si="148"/>
        <v>Loại 3</v>
      </c>
      <c r="X856" s="32"/>
    </row>
    <row r="857" spans="1:24" ht="15.75" customHeight="1">
      <c r="A857" s="30">
        <f>_xlfn.AGGREGATE(4,7,A$6:A856)+1</f>
        <v>631</v>
      </c>
      <c r="B857" s="66" t="str">
        <f t="shared" si="147"/>
        <v>H. Na Rì</v>
      </c>
      <c r="C857" s="33" t="str">
        <f t="shared" si="160"/>
        <v>X. Trần Phú</v>
      </c>
      <c r="D857" s="32"/>
      <c r="E857" s="32" t="s">
        <v>58</v>
      </c>
      <c r="F857" s="33" t="s">
        <v>935</v>
      </c>
      <c r="G857" s="32"/>
      <c r="H857" s="32" t="str">
        <f>IF(LEFT('PL1(Full)'!$F857,4)="Thôn","Thôn","Tổ")</f>
        <v>Thôn</v>
      </c>
      <c r="I857" s="35">
        <v>51</v>
      </c>
      <c r="J857" s="35">
        <v>225</v>
      </c>
      <c r="K857" s="35">
        <v>51</v>
      </c>
      <c r="L857" s="37">
        <f t="shared" si="0"/>
        <v>100</v>
      </c>
      <c r="M857" s="35">
        <v>11</v>
      </c>
      <c r="N857" s="38">
        <f t="shared" si="1"/>
        <v>21.568627450980394</v>
      </c>
      <c r="O857" s="35">
        <v>11</v>
      </c>
      <c r="P857" s="38">
        <f t="shared" si="2"/>
        <v>100</v>
      </c>
      <c r="Q857" s="134" t="s">
        <v>928</v>
      </c>
      <c r="R857" s="134" t="str">
        <f t="shared" si="3"/>
        <v>X</v>
      </c>
      <c r="S857" s="135"/>
      <c r="T857" s="34" t="str">
        <f>IF('PL1(Full)'!$N857&gt;=20,"x",IF(AND('PL1(Full)'!$N857&gt;=15,'PL1(Full)'!$P857&gt;60),"x",""))</f>
        <v>x</v>
      </c>
      <c r="U857" s="34" t="str">
        <f>IF(AND('PL1(Full)'!$H857="Thôn",'PL1(Full)'!$I857&lt;75),"x",IF(AND('PL1(Full)'!$H857="Tổ",'PL1(Full)'!$I857&lt;100),"x","-"))</f>
        <v>x</v>
      </c>
      <c r="V857" s="34" t="str">
        <f>IF(AND('PL1(Full)'!$H857="Thôn",'PL1(Full)'!$I857&lt;140),"x",IF(AND('PL1(Full)'!$H857="Tổ",'PL1(Full)'!$I857&lt;210),"x","-"))</f>
        <v>x</v>
      </c>
      <c r="W857" s="40" t="str">
        <f t="shared" si="148"/>
        <v>Loại 3</v>
      </c>
      <c r="X857" s="32"/>
    </row>
    <row r="858" spans="1:24" ht="15.75" customHeight="1">
      <c r="A858" s="30">
        <f>_xlfn.AGGREGATE(4,7,A$6:A857)+1</f>
        <v>632</v>
      </c>
      <c r="B858" s="66" t="str">
        <f t="shared" si="147"/>
        <v>H. Na Rì</v>
      </c>
      <c r="C858" s="33" t="str">
        <f t="shared" si="160"/>
        <v>X. Trần Phú</v>
      </c>
      <c r="D858" s="32"/>
      <c r="E858" s="32" t="s">
        <v>58</v>
      </c>
      <c r="F858" s="33" t="s">
        <v>936</v>
      </c>
      <c r="G858" s="32"/>
      <c r="H858" s="32" t="str">
        <f>IF(LEFT('PL1(Full)'!$F858,4)="Thôn","Thôn","Tổ")</f>
        <v>Thôn</v>
      </c>
      <c r="I858" s="35">
        <v>37</v>
      </c>
      <c r="J858" s="35">
        <v>176</v>
      </c>
      <c r="K858" s="35">
        <v>36</v>
      </c>
      <c r="L858" s="37">
        <f t="shared" si="0"/>
        <v>97.297297297297291</v>
      </c>
      <c r="M858" s="35">
        <v>18</v>
      </c>
      <c r="N858" s="38">
        <f t="shared" si="1"/>
        <v>48.648648648648646</v>
      </c>
      <c r="O858" s="35">
        <v>18</v>
      </c>
      <c r="P858" s="38">
        <f t="shared" si="2"/>
        <v>100</v>
      </c>
      <c r="Q858" s="134" t="s">
        <v>928</v>
      </c>
      <c r="R858" s="134" t="str">
        <f t="shared" si="3"/>
        <v>X</v>
      </c>
      <c r="S858" s="135" t="s">
        <v>60</v>
      </c>
      <c r="T858" s="34" t="str">
        <f>IF('PL1(Full)'!$N858&gt;=20,"x",IF(AND('PL1(Full)'!$N858&gt;=15,'PL1(Full)'!$P858&gt;60),"x",""))</f>
        <v>x</v>
      </c>
      <c r="U858" s="34" t="str">
        <f>IF(AND('PL1(Full)'!$H858="Thôn",'PL1(Full)'!$I858&lt;75),"x",IF(AND('PL1(Full)'!$H858="Tổ",'PL1(Full)'!$I858&lt;100),"x","-"))</f>
        <v>x</v>
      </c>
      <c r="V858" s="34" t="str">
        <f>IF(AND('PL1(Full)'!$H858="Thôn",'PL1(Full)'!$I858&lt;140),"x",IF(AND('PL1(Full)'!$H858="Tổ",'PL1(Full)'!$I858&lt;210),"x","-"))</f>
        <v>x</v>
      </c>
      <c r="W858" s="40" t="str">
        <f t="shared" si="148"/>
        <v>Loại 3</v>
      </c>
      <c r="X858" s="32"/>
    </row>
    <row r="859" spans="1:24" ht="15.75" customHeight="1">
      <c r="A859" s="30">
        <f>_xlfn.AGGREGATE(4,7,A$6:A858)+1</f>
        <v>633</v>
      </c>
      <c r="B859" s="66" t="str">
        <f t="shared" si="147"/>
        <v>H. Na Rì</v>
      </c>
      <c r="C859" s="33" t="str">
        <f t="shared" si="160"/>
        <v>X. Trần Phú</v>
      </c>
      <c r="D859" s="32"/>
      <c r="E859" s="32" t="s">
        <v>58</v>
      </c>
      <c r="F859" s="33" t="s">
        <v>937</v>
      </c>
      <c r="G859" s="32"/>
      <c r="H859" s="32" t="str">
        <f>IF(LEFT('PL1(Full)'!$F859,4)="Thôn","Thôn","Tổ")</f>
        <v>Thôn</v>
      </c>
      <c r="I859" s="35">
        <v>12</v>
      </c>
      <c r="J859" s="35">
        <v>52</v>
      </c>
      <c r="K859" s="35">
        <v>12</v>
      </c>
      <c r="L859" s="37">
        <f t="shared" si="0"/>
        <v>100</v>
      </c>
      <c r="M859" s="35">
        <v>4</v>
      </c>
      <c r="N859" s="38">
        <f t="shared" si="1"/>
        <v>33.333333333333336</v>
      </c>
      <c r="O859" s="35">
        <v>4</v>
      </c>
      <c r="P859" s="38">
        <f t="shared" si="2"/>
        <v>100</v>
      </c>
      <c r="Q859" s="134" t="s">
        <v>928</v>
      </c>
      <c r="R859" s="134" t="str">
        <f t="shared" si="3"/>
        <v>X</v>
      </c>
      <c r="S859" s="135"/>
      <c r="T859" s="34" t="str">
        <f>IF('PL1(Full)'!$N859&gt;=20,"x",IF(AND('PL1(Full)'!$N859&gt;=15,'PL1(Full)'!$P859&gt;60),"x",""))</f>
        <v>x</v>
      </c>
      <c r="U859" s="34" t="str">
        <f>IF(AND('PL1(Full)'!$H859="Thôn",'PL1(Full)'!$I859&lt;75),"x",IF(AND('PL1(Full)'!$H859="Tổ",'PL1(Full)'!$I859&lt;100),"x","-"))</f>
        <v>x</v>
      </c>
      <c r="V859" s="34" t="str">
        <f>IF(AND('PL1(Full)'!$H859="Thôn",'PL1(Full)'!$I859&lt;140),"x",IF(AND('PL1(Full)'!$H859="Tổ",'PL1(Full)'!$I859&lt;210),"x","-"))</f>
        <v>x</v>
      </c>
      <c r="W859" s="40" t="str">
        <f t="shared" si="148"/>
        <v>Loại 3</v>
      </c>
      <c r="X859" s="32"/>
    </row>
    <row r="860" spans="1:24" ht="15.75" customHeight="1">
      <c r="A860" s="30">
        <f>_xlfn.AGGREGATE(4,7,A$6:A859)+1</f>
        <v>634</v>
      </c>
      <c r="B860" s="66" t="str">
        <f t="shared" si="147"/>
        <v>H. Na Rì</v>
      </c>
      <c r="C860" s="33" t="str">
        <f t="shared" si="160"/>
        <v>X. Trần Phú</v>
      </c>
      <c r="D860" s="32"/>
      <c r="E860" s="32" t="s">
        <v>58</v>
      </c>
      <c r="F860" s="33" t="s">
        <v>938</v>
      </c>
      <c r="G860" s="32"/>
      <c r="H860" s="32" t="str">
        <f>IF(LEFT('PL1(Full)'!$F860,4)="Thôn","Thôn","Tổ")</f>
        <v>Thôn</v>
      </c>
      <c r="I860" s="35">
        <v>33</v>
      </c>
      <c r="J860" s="35">
        <v>145</v>
      </c>
      <c r="K860" s="35">
        <v>33</v>
      </c>
      <c r="L860" s="37">
        <f t="shared" si="0"/>
        <v>100</v>
      </c>
      <c r="M860" s="35">
        <v>6</v>
      </c>
      <c r="N860" s="38">
        <f t="shared" si="1"/>
        <v>18.181818181818183</v>
      </c>
      <c r="O860" s="35">
        <v>6</v>
      </c>
      <c r="P860" s="38">
        <f t="shared" si="2"/>
        <v>100</v>
      </c>
      <c r="Q860" s="134" t="s">
        <v>928</v>
      </c>
      <c r="R860" s="134" t="str">
        <f t="shared" si="3"/>
        <v>X</v>
      </c>
      <c r="S860" s="135"/>
      <c r="T860" s="34" t="str">
        <f>IF('PL1(Full)'!$N860&gt;=20,"x",IF(AND('PL1(Full)'!$N860&gt;=15,'PL1(Full)'!$P860&gt;60),"x",""))</f>
        <v>x</v>
      </c>
      <c r="U860" s="34" t="str">
        <f>IF(AND('PL1(Full)'!$H860="Thôn",'PL1(Full)'!$I860&lt;75),"x",IF(AND('PL1(Full)'!$H860="Tổ",'PL1(Full)'!$I860&lt;100),"x","-"))</f>
        <v>x</v>
      </c>
      <c r="V860" s="34" t="str">
        <f>IF(AND('PL1(Full)'!$H860="Thôn",'PL1(Full)'!$I860&lt;140),"x",IF(AND('PL1(Full)'!$H860="Tổ",'PL1(Full)'!$I860&lt;210),"x","-"))</f>
        <v>x</v>
      </c>
      <c r="W860" s="40" t="str">
        <f t="shared" si="148"/>
        <v>Loại 3</v>
      </c>
      <c r="X860" s="32"/>
    </row>
    <row r="861" spans="1:24" ht="15.75" customHeight="1">
      <c r="A861" s="30">
        <f>_xlfn.AGGREGATE(4,7,A$6:A860)+1</f>
        <v>635</v>
      </c>
      <c r="B861" s="66" t="str">
        <f t="shared" si="147"/>
        <v>H. Na Rì</v>
      </c>
      <c r="C861" s="33" t="str">
        <f t="shared" si="160"/>
        <v>X. Trần Phú</v>
      </c>
      <c r="D861" s="32"/>
      <c r="E861" s="32" t="s">
        <v>58</v>
      </c>
      <c r="F861" s="33" t="s">
        <v>349</v>
      </c>
      <c r="G861" s="32"/>
      <c r="H861" s="32" t="str">
        <f>IF(LEFT('PL1(Full)'!$F861,4)="Thôn","Thôn","Tổ")</f>
        <v>Thôn</v>
      </c>
      <c r="I861" s="35">
        <v>56</v>
      </c>
      <c r="J861" s="35">
        <v>237</v>
      </c>
      <c r="K861" s="35">
        <v>55</v>
      </c>
      <c r="L861" s="37">
        <f t="shared" si="0"/>
        <v>98.214285714285708</v>
      </c>
      <c r="M861" s="35">
        <v>7</v>
      </c>
      <c r="N861" s="38">
        <f t="shared" si="1"/>
        <v>12.5</v>
      </c>
      <c r="O861" s="35">
        <v>7</v>
      </c>
      <c r="P861" s="38">
        <f t="shared" si="2"/>
        <v>100</v>
      </c>
      <c r="Q861" s="134" t="s">
        <v>928</v>
      </c>
      <c r="R861" s="134" t="str">
        <f t="shared" si="3"/>
        <v>X</v>
      </c>
      <c r="S861" s="135"/>
      <c r="T861" s="34" t="str">
        <f>IF('PL1(Full)'!$N861&gt;=20,"x",IF(AND('PL1(Full)'!$N861&gt;=15,'PL1(Full)'!$P861&gt;60),"x",""))</f>
        <v/>
      </c>
      <c r="U861" s="34" t="str">
        <f>IF(AND('PL1(Full)'!$H861="Thôn",'PL1(Full)'!$I861&lt;75),"x",IF(AND('PL1(Full)'!$H861="Tổ",'PL1(Full)'!$I861&lt;100),"x","-"))</f>
        <v>x</v>
      </c>
      <c r="V861" s="34" t="str">
        <f>IF(AND('PL1(Full)'!$H861="Thôn",'PL1(Full)'!$I861&lt;140),"x",IF(AND('PL1(Full)'!$H861="Tổ",'PL1(Full)'!$I861&lt;210),"x","-"))</f>
        <v>x</v>
      </c>
      <c r="W861" s="40" t="str">
        <f t="shared" si="148"/>
        <v>Loại 3</v>
      </c>
      <c r="X861" s="32"/>
    </row>
    <row r="862" spans="1:24" ht="15.75" customHeight="1">
      <c r="A862" s="30">
        <f>_xlfn.AGGREGATE(4,7,A$6:A861)+1</f>
        <v>636</v>
      </c>
      <c r="B862" s="66" t="str">
        <f t="shared" si="147"/>
        <v>H. Na Rì</v>
      </c>
      <c r="C862" s="33" t="str">
        <f t="shared" si="160"/>
        <v>X. Trần Phú</v>
      </c>
      <c r="D862" s="32"/>
      <c r="E862" s="32" t="s">
        <v>58</v>
      </c>
      <c r="F862" s="33" t="s">
        <v>939</v>
      </c>
      <c r="G862" s="32"/>
      <c r="H862" s="32" t="str">
        <f>IF(LEFT('PL1(Full)'!$F862,4)="Thôn","Thôn","Tổ")</f>
        <v>Thôn</v>
      </c>
      <c r="I862" s="35">
        <v>30</v>
      </c>
      <c r="J862" s="35">
        <v>122</v>
      </c>
      <c r="K862" s="35">
        <v>30</v>
      </c>
      <c r="L862" s="37">
        <f t="shared" si="0"/>
        <v>100</v>
      </c>
      <c r="M862" s="35">
        <v>11</v>
      </c>
      <c r="N862" s="38">
        <f t="shared" si="1"/>
        <v>36.666666666666664</v>
      </c>
      <c r="O862" s="35">
        <v>11</v>
      </c>
      <c r="P862" s="38">
        <f t="shared" si="2"/>
        <v>100</v>
      </c>
      <c r="Q862" s="134" t="s">
        <v>928</v>
      </c>
      <c r="R862" s="134" t="str">
        <f t="shared" si="3"/>
        <v>X</v>
      </c>
      <c r="S862" s="135" t="s">
        <v>60</v>
      </c>
      <c r="T862" s="34" t="str">
        <f>IF('PL1(Full)'!$N862&gt;=20,"x",IF(AND('PL1(Full)'!$N862&gt;=15,'PL1(Full)'!$P862&gt;60),"x",""))</f>
        <v>x</v>
      </c>
      <c r="U862" s="34" t="str">
        <f>IF(AND('PL1(Full)'!$H862="Thôn",'PL1(Full)'!$I862&lt;75),"x",IF(AND('PL1(Full)'!$H862="Tổ",'PL1(Full)'!$I862&lt;100),"x","-"))</f>
        <v>x</v>
      </c>
      <c r="V862" s="34" t="str">
        <f>IF(AND('PL1(Full)'!$H862="Thôn",'PL1(Full)'!$I862&lt;140),"x",IF(AND('PL1(Full)'!$H862="Tổ",'PL1(Full)'!$I862&lt;210),"x","-"))</f>
        <v>x</v>
      </c>
      <c r="W862" s="40" t="str">
        <f t="shared" si="148"/>
        <v>Loại 3</v>
      </c>
      <c r="X862" s="32"/>
    </row>
    <row r="863" spans="1:24" ht="15.75" customHeight="1">
      <c r="A863" s="30">
        <f>_xlfn.AGGREGATE(4,7,A$6:A862)+1</f>
        <v>637</v>
      </c>
      <c r="B863" s="66" t="str">
        <f t="shared" si="147"/>
        <v>H. Na Rì</v>
      </c>
      <c r="C863" s="33" t="str">
        <f t="shared" si="160"/>
        <v>X. Trần Phú</v>
      </c>
      <c r="D863" s="32"/>
      <c r="E863" s="32" t="s">
        <v>58</v>
      </c>
      <c r="F863" s="33" t="s">
        <v>940</v>
      </c>
      <c r="G863" s="32"/>
      <c r="H863" s="32" t="str">
        <f>IF(LEFT('PL1(Full)'!$F863,4)="Thôn","Thôn","Tổ")</f>
        <v>Thôn</v>
      </c>
      <c r="I863" s="35">
        <v>28</v>
      </c>
      <c r="J863" s="35">
        <v>97</v>
      </c>
      <c r="K863" s="35">
        <v>19</v>
      </c>
      <c r="L863" s="37">
        <f t="shared" si="0"/>
        <v>67.857142857142861</v>
      </c>
      <c r="M863" s="35">
        <v>18</v>
      </c>
      <c r="N863" s="38">
        <f t="shared" si="1"/>
        <v>64.285714285714292</v>
      </c>
      <c r="O863" s="35">
        <v>10</v>
      </c>
      <c r="P863" s="38">
        <f t="shared" si="2"/>
        <v>55.555555555555557</v>
      </c>
      <c r="Q863" s="134" t="s">
        <v>928</v>
      </c>
      <c r="R863" s="134" t="str">
        <f t="shared" si="3"/>
        <v>X</v>
      </c>
      <c r="S863" s="135" t="s">
        <v>60</v>
      </c>
      <c r="T863" s="34" t="str">
        <f>IF('PL1(Full)'!$N863&gt;=20,"x",IF(AND('PL1(Full)'!$N863&gt;=15,'PL1(Full)'!$P863&gt;60),"x",""))</f>
        <v>x</v>
      </c>
      <c r="U863" s="34" t="str">
        <f>IF(AND('PL1(Full)'!$H863="Thôn",'PL1(Full)'!$I863&lt;75),"x",IF(AND('PL1(Full)'!$H863="Tổ",'PL1(Full)'!$I863&lt;100),"x","-"))</f>
        <v>x</v>
      </c>
      <c r="V863" s="34" t="str">
        <f>IF(AND('PL1(Full)'!$H863="Thôn",'PL1(Full)'!$I863&lt;140),"x",IF(AND('PL1(Full)'!$H863="Tổ",'PL1(Full)'!$I863&lt;210),"x","-"))</f>
        <v>x</v>
      </c>
      <c r="W863" s="40" t="str">
        <f t="shared" si="148"/>
        <v>Loại 3</v>
      </c>
      <c r="X863" s="32"/>
    </row>
    <row r="864" spans="1:24" ht="15.75" customHeight="1">
      <c r="A864" s="30">
        <f>_xlfn.AGGREGATE(4,7,A$6:A863)+1</f>
        <v>638</v>
      </c>
      <c r="B864" s="66" t="str">
        <f t="shared" si="147"/>
        <v>H. Na Rì</v>
      </c>
      <c r="C864" s="33" t="str">
        <f t="shared" si="160"/>
        <v>X. Trần Phú</v>
      </c>
      <c r="D864" s="32"/>
      <c r="E864" s="32" t="s">
        <v>58</v>
      </c>
      <c r="F864" s="33" t="s">
        <v>941</v>
      </c>
      <c r="G864" s="32"/>
      <c r="H864" s="32" t="str">
        <f>IF(LEFT('PL1(Full)'!$F864,4)="Thôn","Thôn","Tổ")</f>
        <v>Thôn</v>
      </c>
      <c r="I864" s="35">
        <v>18</v>
      </c>
      <c r="J864" s="35">
        <v>78</v>
      </c>
      <c r="K864" s="35">
        <v>9</v>
      </c>
      <c r="L864" s="37">
        <f t="shared" si="0"/>
        <v>50</v>
      </c>
      <c r="M864" s="35">
        <v>7</v>
      </c>
      <c r="N864" s="38">
        <f t="shared" si="1"/>
        <v>38.888888888888886</v>
      </c>
      <c r="O864" s="35">
        <v>1</v>
      </c>
      <c r="P864" s="38">
        <f t="shared" si="2"/>
        <v>14.285714285714286</v>
      </c>
      <c r="Q864" s="134" t="s">
        <v>928</v>
      </c>
      <c r="R864" s="134" t="str">
        <f t="shared" si="3"/>
        <v>X</v>
      </c>
      <c r="S864" s="135" t="s">
        <v>60</v>
      </c>
      <c r="T864" s="34" t="str">
        <f>IF('PL1(Full)'!$N864&gt;=20,"x",IF(AND('PL1(Full)'!$N864&gt;=15,'PL1(Full)'!$P864&gt;60),"x",""))</f>
        <v>x</v>
      </c>
      <c r="U864" s="34" t="str">
        <f>IF(AND('PL1(Full)'!$H864="Thôn",'PL1(Full)'!$I864&lt;75),"x",IF(AND('PL1(Full)'!$H864="Tổ",'PL1(Full)'!$I864&lt;100),"x","-"))</f>
        <v>x</v>
      </c>
      <c r="V864" s="34" t="str">
        <f>IF(AND('PL1(Full)'!$H864="Thôn",'PL1(Full)'!$I864&lt;140),"x",IF(AND('PL1(Full)'!$H864="Tổ",'PL1(Full)'!$I864&lt;210),"x","-"))</f>
        <v>x</v>
      </c>
      <c r="W864" s="40" t="str">
        <f t="shared" si="148"/>
        <v>Loại 3</v>
      </c>
      <c r="X864" s="32"/>
    </row>
    <row r="865" spans="1:24" ht="15.75" customHeight="1">
      <c r="A865" s="30">
        <f>_xlfn.AGGREGATE(4,7,A$6:A864)+1</f>
        <v>639</v>
      </c>
      <c r="B865" s="66" t="str">
        <f t="shared" si="147"/>
        <v>H. Na Rì</v>
      </c>
      <c r="C865" s="33" t="str">
        <f t="shared" si="160"/>
        <v>X. Trần Phú</v>
      </c>
      <c r="D865" s="32"/>
      <c r="E865" s="32" t="s">
        <v>58</v>
      </c>
      <c r="F865" s="33" t="s">
        <v>942</v>
      </c>
      <c r="G865" s="32"/>
      <c r="H865" s="32" t="str">
        <f>IF(LEFT('PL1(Full)'!$F865,4)="Thôn","Thôn","Tổ")</f>
        <v>Thôn</v>
      </c>
      <c r="I865" s="35">
        <v>46</v>
      </c>
      <c r="J865" s="35">
        <v>204</v>
      </c>
      <c r="K865" s="35">
        <v>39</v>
      </c>
      <c r="L865" s="37">
        <f t="shared" si="0"/>
        <v>84.782608695652172</v>
      </c>
      <c r="M865" s="35">
        <v>3</v>
      </c>
      <c r="N865" s="38">
        <f t="shared" si="1"/>
        <v>6.5217391304347823</v>
      </c>
      <c r="O865" s="35">
        <v>7</v>
      </c>
      <c r="P865" s="38">
        <f t="shared" si="2"/>
        <v>233.33333333333334</v>
      </c>
      <c r="Q865" s="134" t="s">
        <v>928</v>
      </c>
      <c r="R865" s="134" t="str">
        <f t="shared" si="3"/>
        <v>X</v>
      </c>
      <c r="S865" s="135"/>
      <c r="T865" s="34" t="str">
        <f>IF('PL1(Full)'!$N865&gt;=20,"x",IF(AND('PL1(Full)'!$N865&gt;=15,'PL1(Full)'!$P865&gt;60),"x",""))</f>
        <v/>
      </c>
      <c r="U865" s="34" t="str">
        <f>IF(AND('PL1(Full)'!$H865="Thôn",'PL1(Full)'!$I865&lt;75),"x",IF(AND('PL1(Full)'!$H865="Tổ",'PL1(Full)'!$I865&lt;100),"x","-"))</f>
        <v>x</v>
      </c>
      <c r="V865" s="34" t="str">
        <f>IF(AND('PL1(Full)'!$H865="Thôn",'PL1(Full)'!$I865&lt;140),"x",IF(AND('PL1(Full)'!$H865="Tổ",'PL1(Full)'!$I865&lt;210),"x","-"))</f>
        <v>x</v>
      </c>
      <c r="W865" s="40" t="str">
        <f t="shared" si="148"/>
        <v>Loại 3</v>
      </c>
      <c r="X865" s="32"/>
    </row>
    <row r="866" spans="1:24" ht="15.75" customHeight="1">
      <c r="A866" s="30">
        <f>_xlfn.AGGREGATE(4,7,A$6:A865)+1</f>
        <v>640</v>
      </c>
      <c r="B866" s="66" t="str">
        <f t="shared" si="147"/>
        <v>H. Na Rì</v>
      </c>
      <c r="C866" s="33" t="str">
        <f t="shared" si="160"/>
        <v>X. Trần Phú</v>
      </c>
      <c r="D866" s="32"/>
      <c r="E866" s="32" t="s">
        <v>58</v>
      </c>
      <c r="F866" s="33" t="s">
        <v>943</v>
      </c>
      <c r="G866" s="32"/>
      <c r="H866" s="32" t="str">
        <f>IF(LEFT('PL1(Full)'!$F866,4)="Thôn","Thôn","Tổ")</f>
        <v>Thôn</v>
      </c>
      <c r="I866" s="35">
        <v>59</v>
      </c>
      <c r="J866" s="35">
        <v>242</v>
      </c>
      <c r="K866" s="35">
        <v>42</v>
      </c>
      <c r="L866" s="37">
        <f t="shared" si="0"/>
        <v>71.186440677966104</v>
      </c>
      <c r="M866" s="35">
        <v>26</v>
      </c>
      <c r="N866" s="38">
        <f t="shared" si="1"/>
        <v>44.067796610169495</v>
      </c>
      <c r="O866" s="35">
        <v>24</v>
      </c>
      <c r="P866" s="38">
        <f t="shared" si="2"/>
        <v>92.307692307692307</v>
      </c>
      <c r="Q866" s="134" t="s">
        <v>928</v>
      </c>
      <c r="R866" s="140" t="str">
        <f t="shared" si="3"/>
        <v>X</v>
      </c>
      <c r="S866" s="141" t="s">
        <v>60</v>
      </c>
      <c r="T866" s="34" t="str">
        <f>IF('PL1(Full)'!$N866&gt;=20,"x",IF(AND('PL1(Full)'!$N866&gt;=15,'PL1(Full)'!$P866&gt;60),"x",""))</f>
        <v>x</v>
      </c>
      <c r="U866" s="34" t="str">
        <f>IF(AND('PL1(Full)'!$H866="Thôn",'PL1(Full)'!$I866&lt;75),"x",IF(AND('PL1(Full)'!$H866="Tổ",'PL1(Full)'!$I866&lt;100),"x","-"))</f>
        <v>x</v>
      </c>
      <c r="V866" s="34" t="str">
        <f>IF(AND('PL1(Full)'!$H866="Thôn",'PL1(Full)'!$I866&lt;140),"x",IF(AND('PL1(Full)'!$H866="Tổ",'PL1(Full)'!$I866&lt;210),"x","-"))</f>
        <v>x</v>
      </c>
      <c r="W866" s="40" t="str">
        <f t="shared" si="148"/>
        <v>Loại 3</v>
      </c>
      <c r="X866" s="32"/>
    </row>
    <row r="867" spans="1:24" ht="15.75" customHeight="1">
      <c r="A867" s="30">
        <f>_xlfn.AGGREGATE(4,7,A$6:A866)+1</f>
        <v>641</v>
      </c>
      <c r="B867" s="66" t="str">
        <f t="shared" si="147"/>
        <v>H. Na Rì</v>
      </c>
      <c r="C867" s="33" t="str">
        <f t="shared" si="160"/>
        <v>X. Trần Phú</v>
      </c>
      <c r="D867" s="32"/>
      <c r="E867" s="32" t="s">
        <v>58</v>
      </c>
      <c r="F867" s="33" t="s">
        <v>944</v>
      </c>
      <c r="G867" s="32"/>
      <c r="H867" s="32" t="str">
        <f>IF(LEFT('PL1(Full)'!$F867,4)="Thôn","Thôn","Tổ")</f>
        <v>Thôn</v>
      </c>
      <c r="I867" s="35">
        <v>45</v>
      </c>
      <c r="J867" s="35">
        <v>196</v>
      </c>
      <c r="K867" s="35">
        <v>45</v>
      </c>
      <c r="L867" s="37">
        <f t="shared" si="0"/>
        <v>100</v>
      </c>
      <c r="M867" s="35">
        <v>22</v>
      </c>
      <c r="N867" s="38">
        <f t="shared" si="1"/>
        <v>48.888888888888886</v>
      </c>
      <c r="O867" s="35">
        <v>9</v>
      </c>
      <c r="P867" s="38">
        <f t="shared" si="2"/>
        <v>40.909090909090907</v>
      </c>
      <c r="Q867" s="134" t="s">
        <v>928</v>
      </c>
      <c r="R867" s="134" t="str">
        <f t="shared" si="3"/>
        <v>X</v>
      </c>
      <c r="S867" s="135" t="s">
        <v>60</v>
      </c>
      <c r="T867" s="34" t="str">
        <f>IF('PL1(Full)'!$N867&gt;=20,"x",IF(AND('PL1(Full)'!$N867&gt;=15,'PL1(Full)'!$P867&gt;60),"x",""))</f>
        <v>x</v>
      </c>
      <c r="U867" s="34" t="str">
        <f>IF(AND('PL1(Full)'!$H867="Thôn",'PL1(Full)'!$I867&lt;75),"x",IF(AND('PL1(Full)'!$H867="Tổ",'PL1(Full)'!$I867&lt;100),"x","-"))</f>
        <v>x</v>
      </c>
      <c r="V867" s="34" t="str">
        <f>IF(AND('PL1(Full)'!$H867="Thôn",'PL1(Full)'!$I867&lt;140),"x",IF(AND('PL1(Full)'!$H867="Tổ",'PL1(Full)'!$I867&lt;210),"x","-"))</f>
        <v>x</v>
      </c>
      <c r="W867" s="40" t="str">
        <f t="shared" si="148"/>
        <v>Loại 3</v>
      </c>
      <c r="X867" s="32"/>
    </row>
    <row r="868" spans="1:24" ht="15.75" customHeight="1">
      <c r="A868" s="30">
        <f>_xlfn.AGGREGATE(4,7,A$6:A867)+1</f>
        <v>642</v>
      </c>
      <c r="B868" s="66" t="str">
        <f t="shared" si="147"/>
        <v>H. Na Rì</v>
      </c>
      <c r="C868" s="33" t="str">
        <f t="shared" si="160"/>
        <v>X. Trần Phú</v>
      </c>
      <c r="D868" s="32"/>
      <c r="E868" s="32" t="s">
        <v>58</v>
      </c>
      <c r="F868" s="33" t="s">
        <v>945</v>
      </c>
      <c r="G868" s="32"/>
      <c r="H868" s="32" t="str">
        <f>IF(LEFT('PL1(Full)'!$F868,4)="Thôn","Thôn","Tổ")</f>
        <v>Thôn</v>
      </c>
      <c r="I868" s="35">
        <v>27</v>
      </c>
      <c r="J868" s="35">
        <v>104</v>
      </c>
      <c r="K868" s="35">
        <v>27</v>
      </c>
      <c r="L868" s="37">
        <f t="shared" si="0"/>
        <v>100</v>
      </c>
      <c r="M868" s="35">
        <v>18</v>
      </c>
      <c r="N868" s="38">
        <f t="shared" si="1"/>
        <v>66.666666666666671</v>
      </c>
      <c r="O868" s="35">
        <v>9</v>
      </c>
      <c r="P868" s="38">
        <f t="shared" si="2"/>
        <v>50</v>
      </c>
      <c r="Q868" s="134" t="s">
        <v>928</v>
      </c>
      <c r="R868" s="134" t="str">
        <f t="shared" si="3"/>
        <v>X</v>
      </c>
      <c r="S868" s="135" t="s">
        <v>60</v>
      </c>
      <c r="T868" s="34" t="str">
        <f>IF('PL1(Full)'!$N868&gt;=20,"x",IF(AND('PL1(Full)'!$N868&gt;=15,'PL1(Full)'!$P868&gt;60),"x",""))</f>
        <v>x</v>
      </c>
      <c r="U868" s="34" t="str">
        <f>IF(AND('PL1(Full)'!$H868="Thôn",'PL1(Full)'!$I868&lt;75),"x",IF(AND('PL1(Full)'!$H868="Tổ",'PL1(Full)'!$I868&lt;100),"x","-"))</f>
        <v>x</v>
      </c>
      <c r="V868" s="34" t="str">
        <f>IF(AND('PL1(Full)'!$H868="Thôn",'PL1(Full)'!$I868&lt;140),"x",IF(AND('PL1(Full)'!$H868="Tổ",'PL1(Full)'!$I868&lt;210),"x","-"))</f>
        <v>x</v>
      </c>
      <c r="W868" s="40" t="str">
        <f t="shared" si="148"/>
        <v>Loại 3</v>
      </c>
      <c r="X868" s="32"/>
    </row>
    <row r="869" spans="1:24" ht="15.75" customHeight="1">
      <c r="A869" s="30">
        <f>_xlfn.AGGREGATE(4,7,A$6:A868)+1</f>
        <v>643</v>
      </c>
      <c r="B869" s="66" t="str">
        <f t="shared" si="147"/>
        <v>H. Na Rì</v>
      </c>
      <c r="C869" s="33" t="str">
        <f t="shared" si="160"/>
        <v>X. Trần Phú</v>
      </c>
      <c r="D869" s="32"/>
      <c r="E869" s="32" t="s">
        <v>58</v>
      </c>
      <c r="F869" s="33" t="s">
        <v>946</v>
      </c>
      <c r="G869" s="32"/>
      <c r="H869" s="32" t="str">
        <f>IF(LEFT('PL1(Full)'!$F869,4)="Thôn","Thôn","Tổ")</f>
        <v>Thôn</v>
      </c>
      <c r="I869" s="35">
        <v>42</v>
      </c>
      <c r="J869" s="35">
        <v>174</v>
      </c>
      <c r="K869" s="35">
        <v>42</v>
      </c>
      <c r="L869" s="37">
        <f t="shared" si="0"/>
        <v>100</v>
      </c>
      <c r="M869" s="35">
        <v>25</v>
      </c>
      <c r="N869" s="38">
        <f t="shared" si="1"/>
        <v>59.523809523809526</v>
      </c>
      <c r="O869" s="35">
        <v>21</v>
      </c>
      <c r="P869" s="38">
        <f t="shared" si="2"/>
        <v>84</v>
      </c>
      <c r="Q869" s="134" t="s">
        <v>928</v>
      </c>
      <c r="R869" s="134" t="str">
        <f t="shared" si="3"/>
        <v>X</v>
      </c>
      <c r="S869" s="135" t="s">
        <v>60</v>
      </c>
      <c r="T869" s="34" t="str">
        <f>IF('PL1(Full)'!$N869&gt;=20,"x",IF(AND('PL1(Full)'!$N869&gt;=15,'PL1(Full)'!$P869&gt;60),"x",""))</f>
        <v>x</v>
      </c>
      <c r="U869" s="34" t="str">
        <f>IF(AND('PL1(Full)'!$H869="Thôn",'PL1(Full)'!$I869&lt;75),"x",IF(AND('PL1(Full)'!$H869="Tổ",'PL1(Full)'!$I869&lt;100),"x","-"))</f>
        <v>x</v>
      </c>
      <c r="V869" s="34" t="str">
        <f>IF(AND('PL1(Full)'!$H869="Thôn",'PL1(Full)'!$I869&lt;140),"x",IF(AND('PL1(Full)'!$H869="Tổ",'PL1(Full)'!$I869&lt;210),"x","-"))</f>
        <v>x</v>
      </c>
      <c r="W869" s="40" t="str">
        <f t="shared" si="148"/>
        <v>Loại 3</v>
      </c>
      <c r="X869" s="32"/>
    </row>
    <row r="870" spans="1:24" ht="15.75" customHeight="1">
      <c r="A870" s="41">
        <f>_xlfn.AGGREGATE(4,7,A$6:A869)+1</f>
        <v>644</v>
      </c>
      <c r="B870" s="67" t="str">
        <f t="shared" si="147"/>
        <v>H. Na Rì</v>
      </c>
      <c r="C870" s="44" t="str">
        <f t="shared" si="160"/>
        <v>X. Trần Phú</v>
      </c>
      <c r="D870" s="43"/>
      <c r="E870" s="43" t="s">
        <v>58</v>
      </c>
      <c r="F870" s="44" t="s">
        <v>947</v>
      </c>
      <c r="G870" s="43"/>
      <c r="H870" s="43" t="str">
        <f>IF(LEFT('PL1(Full)'!$F870,4)="Thôn","Thôn","Tổ")</f>
        <v>Thôn</v>
      </c>
      <c r="I870" s="45">
        <v>21</v>
      </c>
      <c r="J870" s="45">
        <v>96</v>
      </c>
      <c r="K870" s="45">
        <v>18</v>
      </c>
      <c r="L870" s="47">
        <f t="shared" si="0"/>
        <v>85.714285714285708</v>
      </c>
      <c r="M870" s="45">
        <v>10</v>
      </c>
      <c r="N870" s="48">
        <f t="shared" si="1"/>
        <v>47.61904761904762</v>
      </c>
      <c r="O870" s="45">
        <v>5</v>
      </c>
      <c r="P870" s="48">
        <f t="shared" si="2"/>
        <v>50</v>
      </c>
      <c r="Q870" s="134" t="s">
        <v>928</v>
      </c>
      <c r="R870" s="136" t="str">
        <f t="shared" si="3"/>
        <v>X</v>
      </c>
      <c r="S870" s="137" t="s">
        <v>60</v>
      </c>
      <c r="T870" s="50" t="str">
        <f>IF('PL1(Full)'!$N870&gt;=20,"x",IF(AND('PL1(Full)'!$N870&gt;=15,'PL1(Full)'!$P870&gt;60),"x",""))</f>
        <v>x</v>
      </c>
      <c r="U870" s="50" t="str">
        <f>IF(AND('PL1(Full)'!$H870="Thôn",'PL1(Full)'!$I870&lt;75),"x",IF(AND('PL1(Full)'!$H870="Tổ",'PL1(Full)'!$I870&lt;100),"x","-"))</f>
        <v>x</v>
      </c>
      <c r="V870" s="34" t="str">
        <f>IF(AND('PL1(Full)'!$H870="Thôn",'PL1(Full)'!$I870&lt;140),"x",IF(AND('PL1(Full)'!$H870="Tổ",'PL1(Full)'!$I870&lt;210),"x","-"))</f>
        <v>x</v>
      </c>
      <c r="W870" s="51" t="str">
        <f t="shared" si="148"/>
        <v>Loại 3</v>
      </c>
      <c r="X870" s="43"/>
    </row>
    <row r="871" spans="1:24" ht="15.75" customHeight="1">
      <c r="A871" s="52">
        <f>_xlfn.AGGREGATE(4,7,A$6:A870)+1</f>
        <v>645</v>
      </c>
      <c r="B871" s="65" t="str">
        <f t="shared" si="147"/>
        <v>H. Na Rì</v>
      </c>
      <c r="C871" s="14" t="s">
        <v>948</v>
      </c>
      <c r="D871" s="15" t="s">
        <v>58</v>
      </c>
      <c r="E871" s="16" t="s">
        <v>58</v>
      </c>
      <c r="F871" s="17" t="s">
        <v>949</v>
      </c>
      <c r="G871" s="18"/>
      <c r="H871" s="18" t="str">
        <f>IF(LEFT('PL1(Full)'!$F871,4)="Thôn","Thôn","Tổ")</f>
        <v>Thôn</v>
      </c>
      <c r="I871" s="19">
        <v>48</v>
      </c>
      <c r="J871" s="19">
        <v>206</v>
      </c>
      <c r="K871" s="19">
        <v>46</v>
      </c>
      <c r="L871" s="21">
        <f t="shared" si="0"/>
        <v>95.833333333333329</v>
      </c>
      <c r="M871" s="19">
        <v>9</v>
      </c>
      <c r="N871" s="22">
        <f t="shared" si="1"/>
        <v>18.75</v>
      </c>
      <c r="O871" s="19">
        <v>9</v>
      </c>
      <c r="P871" s="22">
        <f t="shared" si="2"/>
        <v>100</v>
      </c>
      <c r="Q871" s="132" t="s">
        <v>63</v>
      </c>
      <c r="R871" s="132" t="str">
        <f t="shared" si="3"/>
        <v>X</v>
      </c>
      <c r="S871" s="133"/>
      <c r="T871" s="26" t="str">
        <f>IF('PL1(Full)'!$N871&gt;=20,"x",IF(AND('PL1(Full)'!$N871&gt;=15,'PL1(Full)'!$P871&gt;60),"x",""))</f>
        <v>x</v>
      </c>
      <c r="U871" s="27" t="str">
        <f>IF(AND('PL1(Full)'!$H871="Thôn",'PL1(Full)'!$I871&lt;75),"x",IF(AND('PL1(Full)'!$H871="Tổ",'PL1(Full)'!$I871&lt;100),"x","-"))</f>
        <v>x</v>
      </c>
      <c r="V871" s="28" t="str">
        <f>IF(AND('PL1(Full)'!$H871="Thôn",'PL1(Full)'!$I871&lt;140),"x",IF(AND('PL1(Full)'!$H871="Tổ",'PL1(Full)'!$I871&lt;210),"x","-"))</f>
        <v>x</v>
      </c>
      <c r="W871" s="29" t="str">
        <f t="shared" si="148"/>
        <v>Loại 3</v>
      </c>
      <c r="X871" s="18"/>
    </row>
    <row r="872" spans="1:24" ht="15.75" hidden="1" customHeight="1">
      <c r="A872" s="30">
        <f>_xlfn.AGGREGATE(4,7,A$6:A871)+1</f>
        <v>646</v>
      </c>
      <c r="B872" s="66" t="str">
        <f t="shared" si="147"/>
        <v>H. Na Rì</v>
      </c>
      <c r="C872" s="33" t="str">
        <f t="shared" ref="C872:C885" si="161">C871</f>
        <v>X. Văn Lang</v>
      </c>
      <c r="D872" s="32"/>
      <c r="E872" s="32" t="s">
        <v>58</v>
      </c>
      <c r="F872" s="33" t="s">
        <v>950</v>
      </c>
      <c r="G872" s="32"/>
      <c r="H872" s="32" t="str">
        <f>IF(LEFT('PL1(Full)'!$F872,4)="Thôn","Thôn","Tổ")</f>
        <v>Thôn</v>
      </c>
      <c r="I872" s="35">
        <v>75</v>
      </c>
      <c r="J872" s="35">
        <v>312</v>
      </c>
      <c r="K872" s="35">
        <v>74</v>
      </c>
      <c r="L872" s="37">
        <f t="shared" si="0"/>
        <v>98.666666666666671</v>
      </c>
      <c r="M872" s="35">
        <v>20</v>
      </c>
      <c r="N872" s="38">
        <f t="shared" si="1"/>
        <v>26.666666666666668</v>
      </c>
      <c r="O872" s="35">
        <v>20</v>
      </c>
      <c r="P872" s="38">
        <f t="shared" si="2"/>
        <v>100</v>
      </c>
      <c r="Q872" s="134" t="s">
        <v>56</v>
      </c>
      <c r="R872" s="134" t="str">
        <f t="shared" si="3"/>
        <v>X</v>
      </c>
      <c r="S872" s="135" t="s">
        <v>60</v>
      </c>
      <c r="T872" s="34" t="str">
        <f>IF('PL1(Full)'!$N872&gt;=20,"x",IF(AND('PL1(Full)'!$N872&gt;=15,'PL1(Full)'!$P872&gt;60),"x",""))</f>
        <v>x</v>
      </c>
      <c r="U872" s="34" t="str">
        <f>IF(AND('PL1(Full)'!$H872="Thôn",'PL1(Full)'!$I872&lt;75),"x",IF(AND('PL1(Full)'!$H872="Tổ",'PL1(Full)'!$I872&lt;100),"x","-"))</f>
        <v>-</v>
      </c>
      <c r="V872" s="34" t="str">
        <f>IF(AND('PL1(Full)'!$H872="Thôn",'PL1(Full)'!$I872&lt;140),"x",IF(AND('PL1(Full)'!$H872="Tổ",'PL1(Full)'!$I872&lt;210),"x","-"))</f>
        <v>x</v>
      </c>
      <c r="W872" s="40" t="str">
        <f t="shared" si="148"/>
        <v>Loại 3</v>
      </c>
      <c r="X872" s="32"/>
    </row>
    <row r="873" spans="1:24" ht="15.75" customHeight="1">
      <c r="A873" s="30">
        <f>_xlfn.AGGREGATE(4,7,A$6:A872)+1</f>
        <v>646</v>
      </c>
      <c r="B873" s="66" t="str">
        <f t="shared" si="147"/>
        <v>H. Na Rì</v>
      </c>
      <c r="C873" s="33" t="str">
        <f t="shared" si="161"/>
        <v>X. Văn Lang</v>
      </c>
      <c r="D873" s="32"/>
      <c r="E873" s="32" t="s">
        <v>58</v>
      </c>
      <c r="F873" s="33" t="s">
        <v>951</v>
      </c>
      <c r="G873" s="32"/>
      <c r="H873" s="32" t="str">
        <f>IF(LEFT('PL1(Full)'!$F873,4)="Thôn","Thôn","Tổ")</f>
        <v>Thôn</v>
      </c>
      <c r="I873" s="35">
        <v>33</v>
      </c>
      <c r="J873" s="35">
        <v>146</v>
      </c>
      <c r="K873" s="35">
        <v>30</v>
      </c>
      <c r="L873" s="37">
        <f t="shared" si="0"/>
        <v>90.909090909090907</v>
      </c>
      <c r="M873" s="35">
        <v>10</v>
      </c>
      <c r="N873" s="38">
        <f t="shared" si="1"/>
        <v>30.303030303030305</v>
      </c>
      <c r="O873" s="35">
        <v>9</v>
      </c>
      <c r="P873" s="38">
        <f t="shared" si="2"/>
        <v>90</v>
      </c>
      <c r="Q873" s="134" t="s">
        <v>63</v>
      </c>
      <c r="R873" s="134" t="str">
        <f t="shared" si="3"/>
        <v>X</v>
      </c>
      <c r="S873" s="135" t="s">
        <v>60</v>
      </c>
      <c r="T873" s="34" t="str">
        <f>IF('PL1(Full)'!$N873&gt;=20,"x",IF(AND('PL1(Full)'!$N873&gt;=15,'PL1(Full)'!$P873&gt;60),"x",""))</f>
        <v>x</v>
      </c>
      <c r="U873" s="34" t="str">
        <f>IF(AND('PL1(Full)'!$H873="Thôn",'PL1(Full)'!$I873&lt;75),"x",IF(AND('PL1(Full)'!$H873="Tổ",'PL1(Full)'!$I873&lt;100),"x","-"))</f>
        <v>x</v>
      </c>
      <c r="V873" s="34" t="str">
        <f>IF(AND('PL1(Full)'!$H873="Thôn",'PL1(Full)'!$I873&lt;140),"x",IF(AND('PL1(Full)'!$H873="Tổ",'PL1(Full)'!$I873&lt;210),"x","-"))</f>
        <v>x</v>
      </c>
      <c r="W873" s="40" t="str">
        <f t="shared" si="148"/>
        <v>Loại 3</v>
      </c>
      <c r="X873" s="32"/>
    </row>
    <row r="874" spans="1:24" ht="15.75" hidden="1" customHeight="1">
      <c r="A874" s="30">
        <f>_xlfn.AGGREGATE(4,7,A$6:A873)+1</f>
        <v>647</v>
      </c>
      <c r="B874" s="66" t="str">
        <f t="shared" si="147"/>
        <v>H. Na Rì</v>
      </c>
      <c r="C874" s="33" t="str">
        <f t="shared" si="161"/>
        <v>X. Văn Lang</v>
      </c>
      <c r="D874" s="32"/>
      <c r="E874" s="32" t="s">
        <v>58</v>
      </c>
      <c r="F874" s="33" t="s">
        <v>952</v>
      </c>
      <c r="G874" s="32"/>
      <c r="H874" s="32" t="str">
        <f>IF(LEFT('PL1(Full)'!$F874,4)="Thôn","Thôn","Tổ")</f>
        <v>Thôn</v>
      </c>
      <c r="I874" s="35">
        <v>97</v>
      </c>
      <c r="J874" s="35">
        <v>383</v>
      </c>
      <c r="K874" s="35">
        <v>81</v>
      </c>
      <c r="L874" s="37">
        <f t="shared" si="0"/>
        <v>83.505154639175259</v>
      </c>
      <c r="M874" s="35">
        <v>4</v>
      </c>
      <c r="N874" s="38">
        <f t="shared" si="1"/>
        <v>4.1237113402061851</v>
      </c>
      <c r="O874" s="35">
        <v>4</v>
      </c>
      <c r="P874" s="38">
        <f t="shared" si="2"/>
        <v>100</v>
      </c>
      <c r="Q874" s="140" t="s">
        <v>49</v>
      </c>
      <c r="R874" s="140" t="str">
        <f t="shared" si="3"/>
        <v>X</v>
      </c>
      <c r="S874" s="141"/>
      <c r="T874" s="34" t="str">
        <f>IF('PL1(Full)'!$N874&gt;=20,"x",IF(AND('PL1(Full)'!$N874&gt;=15,'PL1(Full)'!$P874&gt;60),"x",""))</f>
        <v/>
      </c>
      <c r="U874" s="34" t="str">
        <f>IF(AND('PL1(Full)'!$H874="Thôn",'PL1(Full)'!$I874&lt;75),"x",IF(AND('PL1(Full)'!$H874="Tổ",'PL1(Full)'!$I874&lt;100),"x","-"))</f>
        <v>-</v>
      </c>
      <c r="V874" s="34" t="str">
        <f>IF(AND('PL1(Full)'!$H874="Thôn",'PL1(Full)'!$I874&lt;140),"x",IF(AND('PL1(Full)'!$H874="Tổ",'PL1(Full)'!$I874&lt;210),"x","-"))</f>
        <v>x</v>
      </c>
      <c r="W874" s="40" t="str">
        <f t="shared" si="148"/>
        <v>Loại 3</v>
      </c>
      <c r="X874" s="32"/>
    </row>
    <row r="875" spans="1:24" ht="15.75" hidden="1" customHeight="1">
      <c r="A875" s="30">
        <f>_xlfn.AGGREGATE(4,7,A$6:A874)+1</f>
        <v>647</v>
      </c>
      <c r="B875" s="66" t="str">
        <f t="shared" si="147"/>
        <v>H. Na Rì</v>
      </c>
      <c r="C875" s="33" t="str">
        <f t="shared" si="161"/>
        <v>X. Văn Lang</v>
      </c>
      <c r="D875" s="32"/>
      <c r="E875" s="32" t="s">
        <v>58</v>
      </c>
      <c r="F875" s="33" t="s">
        <v>953</v>
      </c>
      <c r="G875" s="32"/>
      <c r="H875" s="32" t="str">
        <f>IF(LEFT('PL1(Full)'!$F875,4)="Thôn","Thôn","Tổ")</f>
        <v>Thôn</v>
      </c>
      <c r="I875" s="35">
        <v>80</v>
      </c>
      <c r="J875" s="35">
        <v>360</v>
      </c>
      <c r="K875" s="35">
        <v>80</v>
      </c>
      <c r="L875" s="37">
        <f t="shared" si="0"/>
        <v>100</v>
      </c>
      <c r="M875" s="35">
        <v>35</v>
      </c>
      <c r="N875" s="38">
        <f t="shared" si="1"/>
        <v>43.75</v>
      </c>
      <c r="O875" s="35">
        <v>35</v>
      </c>
      <c r="P875" s="38">
        <f t="shared" si="2"/>
        <v>100</v>
      </c>
      <c r="Q875" s="134" t="s">
        <v>52</v>
      </c>
      <c r="R875" s="134" t="str">
        <f t="shared" si="3"/>
        <v>C</v>
      </c>
      <c r="S875" s="135" t="s">
        <v>60</v>
      </c>
      <c r="T875" s="34" t="str">
        <f>IF('PL1(Full)'!$N875&gt;=20,"x",IF(AND('PL1(Full)'!$N875&gt;=15,'PL1(Full)'!$P875&gt;60),"x",""))</f>
        <v>x</v>
      </c>
      <c r="U875" s="34" t="str">
        <f>IF(AND('PL1(Full)'!$H875="Thôn",'PL1(Full)'!$I875&lt;75),"x",IF(AND('PL1(Full)'!$H875="Tổ",'PL1(Full)'!$I875&lt;100),"x","-"))</f>
        <v>-</v>
      </c>
      <c r="V875" s="34" t="str">
        <f>IF(AND('PL1(Full)'!$H875="Thôn",'PL1(Full)'!$I875&lt;140),"x",IF(AND('PL1(Full)'!$H875="Tổ",'PL1(Full)'!$I875&lt;210),"x","-"))</f>
        <v>x</v>
      </c>
      <c r="W875" s="40" t="str">
        <f t="shared" si="148"/>
        <v>Loại 3</v>
      </c>
      <c r="X875" s="32" t="s">
        <v>954</v>
      </c>
    </row>
    <row r="876" spans="1:24" ht="15.75" customHeight="1">
      <c r="A876" s="30">
        <f>_xlfn.AGGREGATE(4,7,A$6:A875)+1</f>
        <v>647</v>
      </c>
      <c r="B876" s="66" t="str">
        <f t="shared" si="147"/>
        <v>H. Na Rì</v>
      </c>
      <c r="C876" s="33" t="str">
        <f t="shared" si="161"/>
        <v>X. Văn Lang</v>
      </c>
      <c r="D876" s="32"/>
      <c r="E876" s="32" t="s">
        <v>58</v>
      </c>
      <c r="F876" s="33" t="s">
        <v>955</v>
      </c>
      <c r="G876" s="32"/>
      <c r="H876" s="32" t="str">
        <f>IF(LEFT('PL1(Full)'!$F876,4)="Thôn","Thôn","Tổ")</f>
        <v>Thôn</v>
      </c>
      <c r="I876" s="35">
        <v>25</v>
      </c>
      <c r="J876" s="35">
        <v>106</v>
      </c>
      <c r="K876" s="35">
        <v>25</v>
      </c>
      <c r="L876" s="37">
        <f t="shared" si="0"/>
        <v>100</v>
      </c>
      <c r="M876" s="35">
        <v>8</v>
      </c>
      <c r="N876" s="38">
        <f t="shared" si="1"/>
        <v>32</v>
      </c>
      <c r="O876" s="35">
        <v>8</v>
      </c>
      <c r="P876" s="38">
        <f t="shared" si="2"/>
        <v>100</v>
      </c>
      <c r="Q876" s="134" t="s">
        <v>63</v>
      </c>
      <c r="R876" s="134" t="str">
        <f t="shared" si="3"/>
        <v>X</v>
      </c>
      <c r="S876" s="135" t="s">
        <v>60</v>
      </c>
      <c r="T876" s="34" t="str">
        <f>IF('PL1(Full)'!$N876&gt;=20,"x",IF(AND('PL1(Full)'!$N876&gt;=15,'PL1(Full)'!$P876&gt;60),"x",""))</f>
        <v>x</v>
      </c>
      <c r="U876" s="34" t="str">
        <f>IF(AND('PL1(Full)'!$H876="Thôn",'PL1(Full)'!$I876&lt;75),"x",IF(AND('PL1(Full)'!$H876="Tổ",'PL1(Full)'!$I876&lt;100),"x","-"))</f>
        <v>x</v>
      </c>
      <c r="V876" s="34" t="str">
        <f>IF(AND('PL1(Full)'!$H876="Thôn",'PL1(Full)'!$I876&lt;140),"x",IF(AND('PL1(Full)'!$H876="Tổ",'PL1(Full)'!$I876&lt;210),"x","-"))</f>
        <v>x</v>
      </c>
      <c r="W876" s="40" t="str">
        <f t="shared" si="148"/>
        <v>Loại 3</v>
      </c>
      <c r="X876" s="32"/>
    </row>
    <row r="877" spans="1:24" ht="15.75" customHeight="1">
      <c r="A877" s="30">
        <f>_xlfn.AGGREGATE(4,7,A$6:A876)+1</f>
        <v>648</v>
      </c>
      <c r="B877" s="66" t="str">
        <f t="shared" si="147"/>
        <v>H. Na Rì</v>
      </c>
      <c r="C877" s="33" t="str">
        <f t="shared" si="161"/>
        <v>X. Văn Lang</v>
      </c>
      <c r="D877" s="32"/>
      <c r="E877" s="32" t="s">
        <v>58</v>
      </c>
      <c r="F877" s="33" t="s">
        <v>585</v>
      </c>
      <c r="G877" s="32"/>
      <c r="H877" s="32" t="str">
        <f>IF(LEFT('PL1(Full)'!$F877,4)="Thôn","Thôn","Tổ")</f>
        <v>Thôn</v>
      </c>
      <c r="I877" s="35">
        <v>17</v>
      </c>
      <c r="J877" s="35">
        <v>74</v>
      </c>
      <c r="K877" s="35">
        <v>17</v>
      </c>
      <c r="L877" s="37">
        <f t="shared" si="0"/>
        <v>100</v>
      </c>
      <c r="M877" s="35">
        <v>14</v>
      </c>
      <c r="N877" s="38">
        <f t="shared" si="1"/>
        <v>82.352941176470594</v>
      </c>
      <c r="O877" s="35">
        <v>14</v>
      </c>
      <c r="P877" s="38">
        <f t="shared" si="2"/>
        <v>100</v>
      </c>
      <c r="Q877" s="134" t="s">
        <v>63</v>
      </c>
      <c r="R877" s="134" t="str">
        <f t="shared" si="3"/>
        <v>X</v>
      </c>
      <c r="S877" s="135" t="s">
        <v>60</v>
      </c>
      <c r="T877" s="34" t="str">
        <f>IF('PL1(Full)'!$N877&gt;=20,"x",IF(AND('PL1(Full)'!$N877&gt;=15,'PL1(Full)'!$P877&gt;60),"x",""))</f>
        <v>x</v>
      </c>
      <c r="U877" s="34" t="str">
        <f>IF(AND('PL1(Full)'!$H877="Thôn",'PL1(Full)'!$I877&lt;75),"x",IF(AND('PL1(Full)'!$H877="Tổ",'PL1(Full)'!$I877&lt;100),"x","-"))</f>
        <v>x</v>
      </c>
      <c r="V877" s="34" t="str">
        <f>IF(AND('PL1(Full)'!$H877="Thôn",'PL1(Full)'!$I877&lt;140),"x",IF(AND('PL1(Full)'!$H877="Tổ",'PL1(Full)'!$I877&lt;210),"x","-"))</f>
        <v>x</v>
      </c>
      <c r="W877" s="40" t="str">
        <f t="shared" si="148"/>
        <v>Loại 3</v>
      </c>
      <c r="X877" s="32"/>
    </row>
    <row r="878" spans="1:24" ht="15.75" customHeight="1">
      <c r="A878" s="30">
        <f>_xlfn.AGGREGATE(4,7,A$6:A877)+1</f>
        <v>649</v>
      </c>
      <c r="B878" s="66" t="str">
        <f t="shared" si="147"/>
        <v>H. Na Rì</v>
      </c>
      <c r="C878" s="33" t="str">
        <f t="shared" si="161"/>
        <v>X. Văn Lang</v>
      </c>
      <c r="D878" s="32"/>
      <c r="E878" s="32" t="s">
        <v>58</v>
      </c>
      <c r="F878" s="33" t="s">
        <v>956</v>
      </c>
      <c r="G878" s="32"/>
      <c r="H878" s="32" t="str">
        <f>IF(LEFT('PL1(Full)'!$F878,4)="Thôn","Thôn","Tổ")</f>
        <v>Thôn</v>
      </c>
      <c r="I878" s="35">
        <v>58</v>
      </c>
      <c r="J878" s="35">
        <v>273</v>
      </c>
      <c r="K878" s="35">
        <v>58</v>
      </c>
      <c r="L878" s="37">
        <f t="shared" si="0"/>
        <v>100</v>
      </c>
      <c r="M878" s="35">
        <v>17</v>
      </c>
      <c r="N878" s="38">
        <f t="shared" si="1"/>
        <v>29.310344827586206</v>
      </c>
      <c r="O878" s="35">
        <v>17</v>
      </c>
      <c r="P878" s="38">
        <f t="shared" si="2"/>
        <v>100</v>
      </c>
      <c r="Q878" s="140" t="s">
        <v>56</v>
      </c>
      <c r="R878" s="140" t="str">
        <f t="shared" si="3"/>
        <v>X</v>
      </c>
      <c r="S878" s="141" t="s">
        <v>60</v>
      </c>
      <c r="T878" s="34" t="str">
        <f>IF('PL1(Full)'!$N878&gt;=20,"x",IF(AND('PL1(Full)'!$N878&gt;=15,'PL1(Full)'!$P878&gt;60),"x",""))</f>
        <v>x</v>
      </c>
      <c r="U878" s="34" t="str">
        <f>IF(AND('PL1(Full)'!$H878="Thôn",'PL1(Full)'!$I878&lt;75),"x",IF(AND('PL1(Full)'!$H878="Tổ",'PL1(Full)'!$I878&lt;100),"x","-"))</f>
        <v>x</v>
      </c>
      <c r="V878" s="34" t="str">
        <f>IF(AND('PL1(Full)'!$H878="Thôn",'PL1(Full)'!$I878&lt;140),"x",IF(AND('PL1(Full)'!$H878="Tổ",'PL1(Full)'!$I878&lt;210),"x","-"))</f>
        <v>x</v>
      </c>
      <c r="W878" s="40" t="str">
        <f t="shared" si="148"/>
        <v>Loại 3</v>
      </c>
      <c r="X878" s="32"/>
    </row>
    <row r="879" spans="1:24" ht="15.75" hidden="1" customHeight="1">
      <c r="A879" s="30">
        <f>_xlfn.AGGREGATE(4,7,A$6:A878)+1</f>
        <v>650</v>
      </c>
      <c r="B879" s="66" t="str">
        <f t="shared" si="147"/>
        <v>H. Na Rì</v>
      </c>
      <c r="C879" s="33" t="str">
        <f t="shared" si="161"/>
        <v>X. Văn Lang</v>
      </c>
      <c r="D879" s="32"/>
      <c r="E879" s="32" t="s">
        <v>58</v>
      </c>
      <c r="F879" s="33" t="s">
        <v>957</v>
      </c>
      <c r="G879" s="32"/>
      <c r="H879" s="32" t="str">
        <f>IF(LEFT('PL1(Full)'!$F879,4)="Thôn","Thôn","Tổ")</f>
        <v>Thôn</v>
      </c>
      <c r="I879" s="35">
        <v>77</v>
      </c>
      <c r="J879" s="35">
        <v>332</v>
      </c>
      <c r="K879" s="35">
        <v>77</v>
      </c>
      <c r="L879" s="37">
        <f t="shared" si="0"/>
        <v>100</v>
      </c>
      <c r="M879" s="35">
        <v>30</v>
      </c>
      <c r="N879" s="38">
        <f t="shared" si="1"/>
        <v>38.961038961038959</v>
      </c>
      <c r="O879" s="35">
        <v>30</v>
      </c>
      <c r="P879" s="38">
        <f t="shared" si="2"/>
        <v>100</v>
      </c>
      <c r="Q879" s="134" t="s">
        <v>56</v>
      </c>
      <c r="R879" s="134" t="str">
        <f t="shared" si="3"/>
        <v>X</v>
      </c>
      <c r="S879" s="135" t="s">
        <v>60</v>
      </c>
      <c r="T879" s="34" t="str">
        <f>IF('PL1(Full)'!$N879&gt;=20,"x",IF(AND('PL1(Full)'!$N879&gt;=15,'PL1(Full)'!$P879&gt;60),"x",""))</f>
        <v>x</v>
      </c>
      <c r="U879" s="34" t="str">
        <f>IF(AND('PL1(Full)'!$H879="Thôn",'PL1(Full)'!$I879&lt;75),"x",IF(AND('PL1(Full)'!$H879="Tổ",'PL1(Full)'!$I879&lt;100),"x","-"))</f>
        <v>-</v>
      </c>
      <c r="V879" s="34" t="str">
        <f>IF(AND('PL1(Full)'!$H879="Thôn",'PL1(Full)'!$I879&lt;140),"x",IF(AND('PL1(Full)'!$H879="Tổ",'PL1(Full)'!$I879&lt;210),"x","-"))</f>
        <v>x</v>
      </c>
      <c r="W879" s="40" t="str">
        <f t="shared" si="148"/>
        <v>Loại 3</v>
      </c>
      <c r="X879" s="32"/>
    </row>
    <row r="880" spans="1:24" ht="15.75" customHeight="1">
      <c r="A880" s="30">
        <f>_xlfn.AGGREGATE(4,7,A$6:A879)+1</f>
        <v>650</v>
      </c>
      <c r="B880" s="66" t="str">
        <f t="shared" si="147"/>
        <v>H. Na Rì</v>
      </c>
      <c r="C880" s="33" t="str">
        <f t="shared" si="161"/>
        <v>X. Văn Lang</v>
      </c>
      <c r="D880" s="32"/>
      <c r="E880" s="32" t="s">
        <v>58</v>
      </c>
      <c r="F880" s="33" t="s">
        <v>958</v>
      </c>
      <c r="G880" s="32"/>
      <c r="H880" s="32" t="str">
        <f>IF(LEFT('PL1(Full)'!$F880,4)="Thôn","Thôn","Tổ")</f>
        <v>Thôn</v>
      </c>
      <c r="I880" s="35">
        <v>23</v>
      </c>
      <c r="J880" s="35">
        <v>95</v>
      </c>
      <c r="K880" s="35">
        <v>23</v>
      </c>
      <c r="L880" s="37">
        <f t="shared" si="0"/>
        <v>100</v>
      </c>
      <c r="M880" s="35">
        <v>15</v>
      </c>
      <c r="N880" s="38">
        <f t="shared" si="1"/>
        <v>65.217391304347828</v>
      </c>
      <c r="O880" s="35">
        <v>15</v>
      </c>
      <c r="P880" s="38">
        <f t="shared" si="2"/>
        <v>100</v>
      </c>
      <c r="Q880" s="134" t="s">
        <v>56</v>
      </c>
      <c r="R880" s="134" t="str">
        <f t="shared" si="3"/>
        <v>X</v>
      </c>
      <c r="S880" s="135" t="s">
        <v>60</v>
      </c>
      <c r="T880" s="34" t="str">
        <f>IF('PL1(Full)'!$N880&gt;=20,"x",IF(AND('PL1(Full)'!$N880&gt;=15,'PL1(Full)'!$P880&gt;60),"x",""))</f>
        <v>x</v>
      </c>
      <c r="U880" s="34" t="str">
        <f>IF(AND('PL1(Full)'!$H880="Thôn",'PL1(Full)'!$I880&lt;75),"x",IF(AND('PL1(Full)'!$H880="Tổ",'PL1(Full)'!$I880&lt;100),"x","-"))</f>
        <v>x</v>
      </c>
      <c r="V880" s="34" t="str">
        <f>IF(AND('PL1(Full)'!$H880="Thôn",'PL1(Full)'!$I880&lt;140),"x",IF(AND('PL1(Full)'!$H880="Tổ",'PL1(Full)'!$I880&lt;210),"x","-"))</f>
        <v>x</v>
      </c>
      <c r="W880" s="40" t="str">
        <f t="shared" si="148"/>
        <v>Loại 3</v>
      </c>
      <c r="X880" s="32"/>
    </row>
    <row r="881" spans="1:24" ht="15.75" hidden="1" customHeight="1">
      <c r="A881" s="30">
        <f>_xlfn.AGGREGATE(4,7,A$6:A880)+1</f>
        <v>651</v>
      </c>
      <c r="B881" s="66" t="str">
        <f t="shared" si="147"/>
        <v>H. Na Rì</v>
      </c>
      <c r="C881" s="33" t="str">
        <f t="shared" si="161"/>
        <v>X. Văn Lang</v>
      </c>
      <c r="D881" s="32"/>
      <c r="E881" s="32" t="s">
        <v>58</v>
      </c>
      <c r="F881" s="33" t="s">
        <v>362</v>
      </c>
      <c r="G881" s="32"/>
      <c r="H881" s="32" t="str">
        <f>IF(LEFT('PL1(Full)'!$F881,4)="Thôn","Thôn","Tổ")</f>
        <v>Thôn</v>
      </c>
      <c r="I881" s="35">
        <v>87</v>
      </c>
      <c r="J881" s="35">
        <v>353</v>
      </c>
      <c r="K881" s="35">
        <v>87</v>
      </c>
      <c r="L881" s="37">
        <f t="shared" si="0"/>
        <v>100</v>
      </c>
      <c r="M881" s="35">
        <v>30</v>
      </c>
      <c r="N881" s="38">
        <f t="shared" si="1"/>
        <v>34.482758620689658</v>
      </c>
      <c r="O881" s="35">
        <v>30</v>
      </c>
      <c r="P881" s="38">
        <f t="shared" si="2"/>
        <v>100</v>
      </c>
      <c r="Q881" s="134" t="s">
        <v>52</v>
      </c>
      <c r="R881" s="134" t="str">
        <f t="shared" si="3"/>
        <v>C</v>
      </c>
      <c r="S881" s="135" t="s">
        <v>60</v>
      </c>
      <c r="T881" s="34" t="str">
        <f>IF('PL1(Full)'!$N881&gt;=20,"x",IF(AND('PL1(Full)'!$N881&gt;=15,'PL1(Full)'!$P881&gt;60),"x",""))</f>
        <v>x</v>
      </c>
      <c r="U881" s="34" t="str">
        <f>IF(AND('PL1(Full)'!$H881="Thôn",'PL1(Full)'!$I881&lt;75),"x",IF(AND('PL1(Full)'!$H881="Tổ",'PL1(Full)'!$I881&lt;100),"x","-"))</f>
        <v>-</v>
      </c>
      <c r="V881" s="34" t="str">
        <f>IF(AND('PL1(Full)'!$H881="Thôn",'PL1(Full)'!$I881&lt;140),"x",IF(AND('PL1(Full)'!$H881="Tổ",'PL1(Full)'!$I881&lt;210),"x","-"))</f>
        <v>x</v>
      </c>
      <c r="W881" s="40" t="str">
        <f t="shared" si="148"/>
        <v>Loại 3</v>
      </c>
      <c r="X881" s="32" t="s">
        <v>954</v>
      </c>
    </row>
    <row r="882" spans="1:24" ht="15.75" customHeight="1">
      <c r="A882" s="30">
        <f>_xlfn.AGGREGATE(4,7,A$6:A881)+1</f>
        <v>651</v>
      </c>
      <c r="B882" s="66" t="str">
        <f t="shared" si="147"/>
        <v>H. Na Rì</v>
      </c>
      <c r="C882" s="33" t="str">
        <f t="shared" si="161"/>
        <v>X. Văn Lang</v>
      </c>
      <c r="D882" s="32"/>
      <c r="E882" s="32" t="s">
        <v>58</v>
      </c>
      <c r="F882" s="33" t="s">
        <v>959</v>
      </c>
      <c r="G882" s="32"/>
      <c r="H882" s="32" t="str">
        <f>IF(LEFT('PL1(Full)'!$F882,4)="Thôn","Thôn","Tổ")</f>
        <v>Thôn</v>
      </c>
      <c r="I882" s="35">
        <v>13</v>
      </c>
      <c r="J882" s="35">
        <v>55</v>
      </c>
      <c r="K882" s="35">
        <v>13</v>
      </c>
      <c r="L882" s="37">
        <f t="shared" si="0"/>
        <v>100</v>
      </c>
      <c r="M882" s="35">
        <v>6</v>
      </c>
      <c r="N882" s="38">
        <f t="shared" si="1"/>
        <v>46.153846153846153</v>
      </c>
      <c r="O882" s="35">
        <v>6</v>
      </c>
      <c r="P882" s="38">
        <f t="shared" si="2"/>
        <v>100</v>
      </c>
      <c r="Q882" s="134" t="s">
        <v>56</v>
      </c>
      <c r="R882" s="134" t="str">
        <f t="shared" si="3"/>
        <v>X</v>
      </c>
      <c r="S882" s="135" t="s">
        <v>60</v>
      </c>
      <c r="T882" s="34" t="str">
        <f>IF('PL1(Full)'!$N882&gt;=20,"x",IF(AND('PL1(Full)'!$N882&gt;=15,'PL1(Full)'!$P882&gt;60),"x",""))</f>
        <v>x</v>
      </c>
      <c r="U882" s="34" t="str">
        <f>IF(AND('PL1(Full)'!$H882="Thôn",'PL1(Full)'!$I882&lt;75),"x",IF(AND('PL1(Full)'!$H882="Tổ",'PL1(Full)'!$I882&lt;100),"x","-"))</f>
        <v>x</v>
      </c>
      <c r="V882" s="34" t="str">
        <f>IF(AND('PL1(Full)'!$H882="Thôn",'PL1(Full)'!$I882&lt;140),"x",IF(AND('PL1(Full)'!$H882="Tổ",'PL1(Full)'!$I882&lt;210),"x","-"))</f>
        <v>x</v>
      </c>
      <c r="W882" s="40" t="str">
        <f t="shared" si="148"/>
        <v>Loại 3</v>
      </c>
      <c r="X882" s="32"/>
    </row>
    <row r="883" spans="1:24" ht="15.75" customHeight="1">
      <c r="A883" s="30">
        <f>_xlfn.AGGREGATE(4,7,A$6:A882)+1</f>
        <v>652</v>
      </c>
      <c r="B883" s="66" t="str">
        <f t="shared" si="147"/>
        <v>H. Na Rì</v>
      </c>
      <c r="C883" s="33" t="str">
        <f t="shared" si="161"/>
        <v>X. Văn Lang</v>
      </c>
      <c r="D883" s="32"/>
      <c r="E883" s="32" t="s">
        <v>58</v>
      </c>
      <c r="F883" s="33" t="s">
        <v>960</v>
      </c>
      <c r="G883" s="32"/>
      <c r="H883" s="32" t="str">
        <f>IF(LEFT('PL1(Full)'!$F883,4)="Thôn","Thôn","Tổ")</f>
        <v>Thôn</v>
      </c>
      <c r="I883" s="35">
        <v>42</v>
      </c>
      <c r="J883" s="35">
        <v>178</v>
      </c>
      <c r="K883" s="35">
        <v>41</v>
      </c>
      <c r="L883" s="37">
        <f t="shared" si="0"/>
        <v>97.61904761904762</v>
      </c>
      <c r="M883" s="35">
        <v>12</v>
      </c>
      <c r="N883" s="38">
        <f t="shared" si="1"/>
        <v>28.571428571428573</v>
      </c>
      <c r="O883" s="35">
        <v>12</v>
      </c>
      <c r="P883" s="38">
        <f t="shared" si="2"/>
        <v>100</v>
      </c>
      <c r="Q883" s="140" t="s">
        <v>63</v>
      </c>
      <c r="R883" s="140" t="str">
        <f t="shared" si="3"/>
        <v>X</v>
      </c>
      <c r="S883" s="141" t="s">
        <v>60</v>
      </c>
      <c r="T883" s="34" t="str">
        <f>IF('PL1(Full)'!$N883&gt;=20,"x",IF(AND('PL1(Full)'!$N883&gt;=15,'PL1(Full)'!$P883&gt;60),"x",""))</f>
        <v>x</v>
      </c>
      <c r="U883" s="34" t="str">
        <f>IF(AND('PL1(Full)'!$H883="Thôn",'PL1(Full)'!$I883&lt;75),"x",IF(AND('PL1(Full)'!$H883="Tổ",'PL1(Full)'!$I883&lt;100),"x","-"))</f>
        <v>x</v>
      </c>
      <c r="V883" s="34" t="str">
        <f>IF(AND('PL1(Full)'!$H883="Thôn",'PL1(Full)'!$I883&lt;140),"x",IF(AND('PL1(Full)'!$H883="Tổ",'PL1(Full)'!$I883&lt;210),"x","-"))</f>
        <v>x</v>
      </c>
      <c r="W883" s="40" t="str">
        <f t="shared" si="148"/>
        <v>Loại 3</v>
      </c>
      <c r="X883" s="32"/>
    </row>
    <row r="884" spans="1:24" ht="15.75" customHeight="1">
      <c r="A884" s="30">
        <f>_xlfn.AGGREGATE(4,7,A$6:A883)+1</f>
        <v>653</v>
      </c>
      <c r="B884" s="66" t="str">
        <f t="shared" si="147"/>
        <v>H. Na Rì</v>
      </c>
      <c r="C884" s="33" t="str">
        <f t="shared" si="161"/>
        <v>X. Văn Lang</v>
      </c>
      <c r="D884" s="32"/>
      <c r="E884" s="32" t="s">
        <v>58</v>
      </c>
      <c r="F884" s="33" t="s">
        <v>961</v>
      </c>
      <c r="G884" s="32"/>
      <c r="H884" s="32" t="str">
        <f>IF(LEFT('PL1(Full)'!$F884,4)="Thôn","Thôn","Tổ")</f>
        <v>Thôn</v>
      </c>
      <c r="I884" s="35">
        <v>27</v>
      </c>
      <c r="J884" s="35">
        <v>110</v>
      </c>
      <c r="K884" s="35">
        <v>27</v>
      </c>
      <c r="L884" s="37">
        <f t="shared" si="0"/>
        <v>100</v>
      </c>
      <c r="M884" s="35">
        <v>16</v>
      </c>
      <c r="N884" s="38">
        <f t="shared" si="1"/>
        <v>59.25925925925926</v>
      </c>
      <c r="O884" s="35">
        <v>16</v>
      </c>
      <c r="P884" s="38">
        <f t="shared" si="2"/>
        <v>100</v>
      </c>
      <c r="Q884" s="134" t="s">
        <v>63</v>
      </c>
      <c r="R884" s="134" t="str">
        <f t="shared" si="3"/>
        <v>X</v>
      </c>
      <c r="S884" s="135" t="s">
        <v>60</v>
      </c>
      <c r="T884" s="34" t="str">
        <f>IF('PL1(Full)'!$N884&gt;=20,"x",IF(AND('PL1(Full)'!$N884&gt;=15,'PL1(Full)'!$P884&gt;60),"x",""))</f>
        <v>x</v>
      </c>
      <c r="U884" s="34" t="str">
        <f>IF(AND('PL1(Full)'!$H884="Thôn",'PL1(Full)'!$I884&lt;75),"x",IF(AND('PL1(Full)'!$H884="Tổ",'PL1(Full)'!$I884&lt;100),"x","-"))</f>
        <v>x</v>
      </c>
      <c r="V884" s="34" t="str">
        <f>IF(AND('PL1(Full)'!$H884="Thôn",'PL1(Full)'!$I884&lt;140),"x",IF(AND('PL1(Full)'!$H884="Tổ",'PL1(Full)'!$I884&lt;210),"x","-"))</f>
        <v>x</v>
      </c>
      <c r="W884" s="40" t="str">
        <f t="shared" si="148"/>
        <v>Loại 3</v>
      </c>
      <c r="X884" s="32"/>
    </row>
    <row r="885" spans="1:24" ht="15.75" customHeight="1">
      <c r="A885" s="41">
        <f>_xlfn.AGGREGATE(4,7,A$6:A884)+1</f>
        <v>654</v>
      </c>
      <c r="B885" s="67" t="str">
        <f t="shared" si="147"/>
        <v>H. Na Rì</v>
      </c>
      <c r="C885" s="44" t="str">
        <f t="shared" si="161"/>
        <v>X. Văn Lang</v>
      </c>
      <c r="D885" s="43"/>
      <c r="E885" s="43" t="s">
        <v>58</v>
      </c>
      <c r="F885" s="44" t="s">
        <v>962</v>
      </c>
      <c r="G885" s="43"/>
      <c r="H885" s="43" t="str">
        <f>IF(LEFT('PL1(Full)'!$F885,4)="Thôn","Thôn","Tổ")</f>
        <v>Thôn</v>
      </c>
      <c r="I885" s="45">
        <v>34</v>
      </c>
      <c r="J885" s="45">
        <v>147</v>
      </c>
      <c r="K885" s="45">
        <v>34</v>
      </c>
      <c r="L885" s="47">
        <f t="shared" si="0"/>
        <v>100</v>
      </c>
      <c r="M885" s="45">
        <v>21</v>
      </c>
      <c r="N885" s="48">
        <f t="shared" si="1"/>
        <v>61.764705882352942</v>
      </c>
      <c r="O885" s="45">
        <v>21</v>
      </c>
      <c r="P885" s="48">
        <f t="shared" si="2"/>
        <v>100</v>
      </c>
      <c r="Q885" s="136" t="s">
        <v>56</v>
      </c>
      <c r="R885" s="136" t="str">
        <f t="shared" si="3"/>
        <v>X</v>
      </c>
      <c r="S885" s="137" t="s">
        <v>60</v>
      </c>
      <c r="T885" s="50" t="str">
        <f>IF('PL1(Full)'!$N885&gt;=20,"x",IF(AND('PL1(Full)'!$N885&gt;=15,'PL1(Full)'!$P885&gt;60),"x",""))</f>
        <v>x</v>
      </c>
      <c r="U885" s="50" t="str">
        <f>IF(AND('PL1(Full)'!$H885="Thôn",'PL1(Full)'!$I885&lt;75),"x",IF(AND('PL1(Full)'!$H885="Tổ",'PL1(Full)'!$I885&lt;100),"x","-"))</f>
        <v>x</v>
      </c>
      <c r="V885" s="34" t="str">
        <f>IF(AND('PL1(Full)'!$H885="Thôn",'PL1(Full)'!$I885&lt;140),"x",IF(AND('PL1(Full)'!$H885="Tổ",'PL1(Full)'!$I885&lt;210),"x","-"))</f>
        <v>x</v>
      </c>
      <c r="W885" s="51" t="str">
        <f t="shared" si="148"/>
        <v>Loại 3</v>
      </c>
      <c r="X885" s="43"/>
    </row>
    <row r="886" spans="1:24" ht="15.75" customHeight="1">
      <c r="A886" s="52">
        <f>_xlfn.AGGREGATE(4,7,A$6:A885)+1</f>
        <v>655</v>
      </c>
      <c r="B886" s="65" t="str">
        <f t="shared" si="147"/>
        <v>H. Na Rì</v>
      </c>
      <c r="C886" s="14" t="s">
        <v>963</v>
      </c>
      <c r="D886" s="15" t="s">
        <v>58</v>
      </c>
      <c r="E886" s="16" t="s">
        <v>58</v>
      </c>
      <c r="F886" s="17" t="s">
        <v>964</v>
      </c>
      <c r="G886" s="18"/>
      <c r="H886" s="18" t="str">
        <f>IF(LEFT('PL1(Full)'!$F886,4)="Thôn","Thôn","Tổ")</f>
        <v>Thôn</v>
      </c>
      <c r="I886" s="19">
        <v>37</v>
      </c>
      <c r="J886" s="19">
        <v>161</v>
      </c>
      <c r="K886" s="19">
        <v>30</v>
      </c>
      <c r="L886" s="21">
        <f t="shared" si="0"/>
        <v>81.081081081081081</v>
      </c>
      <c r="M886" s="19">
        <v>8</v>
      </c>
      <c r="N886" s="22">
        <f t="shared" si="1"/>
        <v>21.621621621621621</v>
      </c>
      <c r="O886" s="19">
        <v>7</v>
      </c>
      <c r="P886" s="22">
        <f t="shared" si="2"/>
        <v>87.5</v>
      </c>
      <c r="Q886" s="132" t="s">
        <v>56</v>
      </c>
      <c r="R886" s="132" t="str">
        <f t="shared" si="3"/>
        <v>X</v>
      </c>
      <c r="S886" s="133" t="s">
        <v>60</v>
      </c>
      <c r="T886" s="26" t="str">
        <f>IF('PL1(Full)'!$N886&gt;=20,"x",IF(AND('PL1(Full)'!$N886&gt;=15,'PL1(Full)'!$P886&gt;60),"x",""))</f>
        <v>x</v>
      </c>
      <c r="U886" s="27" t="str">
        <f>IF(AND('PL1(Full)'!$H886="Thôn",'PL1(Full)'!$I886&lt;75),"x",IF(AND('PL1(Full)'!$H886="Tổ",'PL1(Full)'!$I886&lt;100),"x","-"))</f>
        <v>x</v>
      </c>
      <c r="V886" s="28" t="str">
        <f>IF(AND('PL1(Full)'!$H886="Thôn",'PL1(Full)'!$I886&lt;140),"x",IF(AND('PL1(Full)'!$H886="Tổ",'PL1(Full)'!$I886&lt;210),"x","-"))</f>
        <v>x</v>
      </c>
      <c r="W886" s="29" t="str">
        <f t="shared" si="148"/>
        <v>Loại 3</v>
      </c>
      <c r="X886" s="18"/>
    </row>
    <row r="887" spans="1:24" ht="15.75" customHeight="1">
      <c r="A887" s="30">
        <f>_xlfn.AGGREGATE(4,7,A$6:A886)+1</f>
        <v>656</v>
      </c>
      <c r="B887" s="66" t="str">
        <f t="shared" si="147"/>
        <v>H. Na Rì</v>
      </c>
      <c r="C887" s="33" t="str">
        <f t="shared" ref="C887:C895" si="162">C886</f>
        <v>X. Văn Minh</v>
      </c>
      <c r="D887" s="32"/>
      <c r="E887" s="32" t="s">
        <v>58</v>
      </c>
      <c r="F887" s="33" t="s">
        <v>965</v>
      </c>
      <c r="G887" s="32"/>
      <c r="H887" s="32" t="str">
        <f>IF(LEFT('PL1(Full)'!$F887,4)="Thôn","Thôn","Tổ")</f>
        <v>Thôn</v>
      </c>
      <c r="I887" s="35">
        <v>22</v>
      </c>
      <c r="J887" s="35">
        <v>102</v>
      </c>
      <c r="K887" s="35">
        <v>22</v>
      </c>
      <c r="L887" s="37">
        <f t="shared" si="0"/>
        <v>100</v>
      </c>
      <c r="M887" s="35">
        <v>15</v>
      </c>
      <c r="N887" s="38">
        <f t="shared" si="1"/>
        <v>68.181818181818187</v>
      </c>
      <c r="O887" s="35">
        <v>15</v>
      </c>
      <c r="P887" s="38">
        <f t="shared" si="2"/>
        <v>100</v>
      </c>
      <c r="Q887" s="134" t="s">
        <v>56</v>
      </c>
      <c r="R887" s="134" t="str">
        <f t="shared" si="3"/>
        <v>X</v>
      </c>
      <c r="S887" s="135" t="s">
        <v>60</v>
      </c>
      <c r="T887" s="34" t="str">
        <f>IF('PL1(Full)'!$N887&gt;=20,"x",IF(AND('PL1(Full)'!$N887&gt;=15,'PL1(Full)'!$P887&gt;60),"x",""))</f>
        <v>x</v>
      </c>
      <c r="U887" s="34" t="str">
        <f>IF(AND('PL1(Full)'!$H887="Thôn",'PL1(Full)'!$I887&lt;75),"x",IF(AND('PL1(Full)'!$H887="Tổ",'PL1(Full)'!$I887&lt;100),"x","-"))</f>
        <v>x</v>
      </c>
      <c r="V887" s="34" t="str">
        <f>IF(AND('PL1(Full)'!$H887="Thôn",'PL1(Full)'!$I887&lt;140),"x",IF(AND('PL1(Full)'!$H887="Tổ",'PL1(Full)'!$I887&lt;210),"x","-"))</f>
        <v>x</v>
      </c>
      <c r="W887" s="40" t="str">
        <f t="shared" si="148"/>
        <v>Loại 3</v>
      </c>
      <c r="X887" s="32"/>
    </row>
    <row r="888" spans="1:24" ht="15.75" customHeight="1">
      <c r="A888" s="30">
        <f>_xlfn.AGGREGATE(4,7,A$6:A887)+1</f>
        <v>657</v>
      </c>
      <c r="B888" s="66" t="str">
        <f t="shared" si="147"/>
        <v>H. Na Rì</v>
      </c>
      <c r="C888" s="33" t="str">
        <f t="shared" si="162"/>
        <v>X. Văn Minh</v>
      </c>
      <c r="D888" s="32"/>
      <c r="E888" s="32" t="s">
        <v>58</v>
      </c>
      <c r="F888" s="33" t="s">
        <v>966</v>
      </c>
      <c r="G888" s="32"/>
      <c r="H888" s="32" t="str">
        <f>IF(LEFT('PL1(Full)'!$F888,4)="Thôn","Thôn","Tổ")</f>
        <v>Thôn</v>
      </c>
      <c r="I888" s="35">
        <v>27</v>
      </c>
      <c r="J888" s="35">
        <v>112</v>
      </c>
      <c r="K888" s="35">
        <v>27</v>
      </c>
      <c r="L888" s="37">
        <f t="shared" si="0"/>
        <v>100</v>
      </c>
      <c r="M888" s="35">
        <v>9</v>
      </c>
      <c r="N888" s="38">
        <f t="shared" si="1"/>
        <v>33.333333333333336</v>
      </c>
      <c r="O888" s="35">
        <v>9</v>
      </c>
      <c r="P888" s="38">
        <f t="shared" si="2"/>
        <v>100</v>
      </c>
      <c r="Q888" s="134" t="s">
        <v>56</v>
      </c>
      <c r="R888" s="134" t="str">
        <f t="shared" si="3"/>
        <v>X</v>
      </c>
      <c r="S888" s="135" t="s">
        <v>60</v>
      </c>
      <c r="T888" s="34" t="str">
        <f>IF('PL1(Full)'!$N888&gt;=20,"x",IF(AND('PL1(Full)'!$N888&gt;=15,'PL1(Full)'!$P888&gt;60),"x",""))</f>
        <v>x</v>
      </c>
      <c r="U888" s="34" t="str">
        <f>IF(AND('PL1(Full)'!$H888="Thôn",'PL1(Full)'!$I888&lt;75),"x",IF(AND('PL1(Full)'!$H888="Tổ",'PL1(Full)'!$I888&lt;100),"x","-"))</f>
        <v>x</v>
      </c>
      <c r="V888" s="34" t="str">
        <f>IF(AND('PL1(Full)'!$H888="Thôn",'PL1(Full)'!$I888&lt;140),"x",IF(AND('PL1(Full)'!$H888="Tổ",'PL1(Full)'!$I888&lt;210),"x","-"))</f>
        <v>x</v>
      </c>
      <c r="W888" s="40" t="str">
        <f t="shared" si="148"/>
        <v>Loại 3</v>
      </c>
      <c r="X888" s="32"/>
    </row>
    <row r="889" spans="1:24" ht="15.75" customHeight="1">
      <c r="A889" s="30">
        <f>_xlfn.AGGREGATE(4,7,A$6:A888)+1</f>
        <v>658</v>
      </c>
      <c r="B889" s="66" t="str">
        <f t="shared" si="147"/>
        <v>H. Na Rì</v>
      </c>
      <c r="C889" s="33" t="str">
        <f t="shared" si="162"/>
        <v>X. Văn Minh</v>
      </c>
      <c r="D889" s="32"/>
      <c r="E889" s="32" t="s">
        <v>58</v>
      </c>
      <c r="F889" s="33" t="s">
        <v>67</v>
      </c>
      <c r="G889" s="32"/>
      <c r="H889" s="32" t="str">
        <f>IF(LEFT('PL1(Full)'!$F889,4)="Thôn","Thôn","Tổ")</f>
        <v>Thôn</v>
      </c>
      <c r="I889" s="35">
        <v>48</v>
      </c>
      <c r="J889" s="35">
        <v>191</v>
      </c>
      <c r="K889" s="35">
        <v>46</v>
      </c>
      <c r="L889" s="37">
        <f t="shared" si="0"/>
        <v>95.833333333333329</v>
      </c>
      <c r="M889" s="35">
        <v>22</v>
      </c>
      <c r="N889" s="38">
        <f t="shared" si="1"/>
        <v>45.833333333333336</v>
      </c>
      <c r="O889" s="35">
        <v>22</v>
      </c>
      <c r="P889" s="38">
        <f t="shared" si="2"/>
        <v>100</v>
      </c>
      <c r="Q889" s="134" t="s">
        <v>56</v>
      </c>
      <c r="R889" s="134" t="str">
        <f t="shared" si="3"/>
        <v>X</v>
      </c>
      <c r="S889" s="135" t="s">
        <v>60</v>
      </c>
      <c r="T889" s="34" t="str">
        <f>IF('PL1(Full)'!$N889&gt;=20,"x",IF(AND('PL1(Full)'!$N889&gt;=15,'PL1(Full)'!$P889&gt;60),"x",""))</f>
        <v>x</v>
      </c>
      <c r="U889" s="34" t="str">
        <f>IF(AND('PL1(Full)'!$H889="Thôn",'PL1(Full)'!$I889&lt;75),"x",IF(AND('PL1(Full)'!$H889="Tổ",'PL1(Full)'!$I889&lt;100),"x","-"))</f>
        <v>x</v>
      </c>
      <c r="V889" s="34" t="str">
        <f>IF(AND('PL1(Full)'!$H889="Thôn",'PL1(Full)'!$I889&lt;140),"x",IF(AND('PL1(Full)'!$H889="Tổ",'PL1(Full)'!$I889&lt;210),"x","-"))</f>
        <v>x</v>
      </c>
      <c r="W889" s="40" t="str">
        <f t="shared" si="148"/>
        <v>Loại 3</v>
      </c>
      <c r="X889" s="32"/>
    </row>
    <row r="890" spans="1:24" ht="15.75" customHeight="1">
      <c r="A890" s="30">
        <f>_xlfn.AGGREGATE(4,7,A$6:A889)+1</f>
        <v>659</v>
      </c>
      <c r="B890" s="66" t="str">
        <f t="shared" si="147"/>
        <v>H. Na Rì</v>
      </c>
      <c r="C890" s="33" t="str">
        <f t="shared" si="162"/>
        <v>X. Văn Minh</v>
      </c>
      <c r="D890" s="32"/>
      <c r="E890" s="32" t="s">
        <v>58</v>
      </c>
      <c r="F890" s="33" t="s">
        <v>967</v>
      </c>
      <c r="G890" s="32"/>
      <c r="H890" s="32" t="str">
        <f>IF(LEFT('PL1(Full)'!$F890,4)="Thôn","Thôn","Tổ")</f>
        <v>Thôn</v>
      </c>
      <c r="I890" s="35">
        <v>30</v>
      </c>
      <c r="J890" s="35">
        <v>138</v>
      </c>
      <c r="K890" s="35">
        <v>30</v>
      </c>
      <c r="L890" s="37">
        <f t="shared" si="0"/>
        <v>100</v>
      </c>
      <c r="M890" s="35">
        <v>8</v>
      </c>
      <c r="N890" s="38">
        <f t="shared" si="1"/>
        <v>26.666666666666668</v>
      </c>
      <c r="O890" s="35">
        <v>8</v>
      </c>
      <c r="P890" s="38">
        <f t="shared" si="2"/>
        <v>100</v>
      </c>
      <c r="Q890" s="134" t="s">
        <v>56</v>
      </c>
      <c r="R890" s="134" t="str">
        <f t="shared" si="3"/>
        <v>X</v>
      </c>
      <c r="S890" s="135" t="s">
        <v>60</v>
      </c>
      <c r="T890" s="34" t="str">
        <f>IF('PL1(Full)'!$N890&gt;=20,"x",IF(AND('PL1(Full)'!$N890&gt;=15,'PL1(Full)'!$P890&gt;60),"x",""))</f>
        <v>x</v>
      </c>
      <c r="U890" s="34" t="str">
        <f>IF(AND('PL1(Full)'!$H890="Thôn",'PL1(Full)'!$I890&lt;75),"x",IF(AND('PL1(Full)'!$H890="Tổ",'PL1(Full)'!$I890&lt;100),"x","-"))</f>
        <v>x</v>
      </c>
      <c r="V890" s="34" t="str">
        <f>IF(AND('PL1(Full)'!$H890="Thôn",'PL1(Full)'!$I890&lt;140),"x",IF(AND('PL1(Full)'!$H890="Tổ",'PL1(Full)'!$I890&lt;210),"x","-"))</f>
        <v>x</v>
      </c>
      <c r="W890" s="40" t="str">
        <f t="shared" si="148"/>
        <v>Loại 3</v>
      </c>
      <c r="X890" s="32"/>
    </row>
    <row r="891" spans="1:24" ht="15.75" customHeight="1">
      <c r="A891" s="30">
        <f>_xlfn.AGGREGATE(4,7,A$6:A890)+1</f>
        <v>660</v>
      </c>
      <c r="B891" s="66" t="str">
        <f t="shared" si="147"/>
        <v>H. Na Rì</v>
      </c>
      <c r="C891" s="33" t="str">
        <f t="shared" si="162"/>
        <v>X. Văn Minh</v>
      </c>
      <c r="D891" s="32"/>
      <c r="E891" s="32" t="s">
        <v>58</v>
      </c>
      <c r="F891" s="33" t="s">
        <v>968</v>
      </c>
      <c r="G891" s="32"/>
      <c r="H891" s="32" t="str">
        <f>IF(LEFT('PL1(Full)'!$F891,4)="Thôn","Thôn","Tổ")</f>
        <v>Thôn</v>
      </c>
      <c r="I891" s="35">
        <v>33</v>
      </c>
      <c r="J891" s="35">
        <v>139</v>
      </c>
      <c r="K891" s="35">
        <v>29</v>
      </c>
      <c r="L891" s="37">
        <f t="shared" si="0"/>
        <v>87.878787878787875</v>
      </c>
      <c r="M891" s="35">
        <v>12</v>
      </c>
      <c r="N891" s="38">
        <f t="shared" si="1"/>
        <v>36.363636363636367</v>
      </c>
      <c r="O891" s="35">
        <v>10</v>
      </c>
      <c r="P891" s="38">
        <f t="shared" si="2"/>
        <v>83.333333333333329</v>
      </c>
      <c r="Q891" s="134" t="s">
        <v>56</v>
      </c>
      <c r="R891" s="134" t="str">
        <f t="shared" si="3"/>
        <v>X</v>
      </c>
      <c r="S891" s="135" t="s">
        <v>60</v>
      </c>
      <c r="T891" s="34" t="str">
        <f>IF('PL1(Full)'!$N891&gt;=20,"x",IF(AND('PL1(Full)'!$N891&gt;=15,'PL1(Full)'!$P891&gt;60),"x",""))</f>
        <v>x</v>
      </c>
      <c r="U891" s="34" t="str">
        <f>IF(AND('PL1(Full)'!$H891="Thôn",'PL1(Full)'!$I891&lt;75),"x",IF(AND('PL1(Full)'!$H891="Tổ",'PL1(Full)'!$I891&lt;100),"x","-"))</f>
        <v>x</v>
      </c>
      <c r="V891" s="34" t="str">
        <f>IF(AND('PL1(Full)'!$H891="Thôn",'PL1(Full)'!$I891&lt;140),"x",IF(AND('PL1(Full)'!$H891="Tổ",'PL1(Full)'!$I891&lt;210),"x","-"))</f>
        <v>x</v>
      </c>
      <c r="W891" s="40" t="str">
        <f t="shared" si="148"/>
        <v>Loại 3</v>
      </c>
      <c r="X891" s="32"/>
    </row>
    <row r="892" spans="1:24" ht="15.75" customHeight="1">
      <c r="A892" s="30">
        <f>_xlfn.AGGREGATE(4,7,A$6:A891)+1</f>
        <v>661</v>
      </c>
      <c r="B892" s="66" t="str">
        <f t="shared" si="147"/>
        <v>H. Na Rì</v>
      </c>
      <c r="C892" s="33" t="str">
        <f t="shared" si="162"/>
        <v>X. Văn Minh</v>
      </c>
      <c r="D892" s="32"/>
      <c r="E892" s="32" t="s">
        <v>58</v>
      </c>
      <c r="F892" s="33" t="s">
        <v>969</v>
      </c>
      <c r="G892" s="32"/>
      <c r="H892" s="32" t="str">
        <f>IF(LEFT('PL1(Full)'!$F892,4)="Thôn","Thôn","Tổ")</f>
        <v>Thôn</v>
      </c>
      <c r="I892" s="35">
        <v>32</v>
      </c>
      <c r="J892" s="35">
        <v>148</v>
      </c>
      <c r="K892" s="35">
        <v>32</v>
      </c>
      <c r="L892" s="37">
        <f t="shared" si="0"/>
        <v>100</v>
      </c>
      <c r="M892" s="35">
        <v>8</v>
      </c>
      <c r="N892" s="38">
        <f t="shared" si="1"/>
        <v>25</v>
      </c>
      <c r="O892" s="35">
        <v>8</v>
      </c>
      <c r="P892" s="38">
        <f t="shared" si="2"/>
        <v>100</v>
      </c>
      <c r="Q892" s="134" t="s">
        <v>56</v>
      </c>
      <c r="R892" s="134" t="str">
        <f t="shared" si="3"/>
        <v>X</v>
      </c>
      <c r="S892" s="135" t="s">
        <v>60</v>
      </c>
      <c r="T892" s="34" t="str">
        <f>IF('PL1(Full)'!$N892&gt;=20,"x",IF(AND('PL1(Full)'!$N892&gt;=15,'PL1(Full)'!$P892&gt;60),"x",""))</f>
        <v>x</v>
      </c>
      <c r="U892" s="34" t="str">
        <f>IF(AND('PL1(Full)'!$H892="Thôn",'PL1(Full)'!$I892&lt;75),"x",IF(AND('PL1(Full)'!$H892="Tổ",'PL1(Full)'!$I892&lt;100),"x","-"))</f>
        <v>x</v>
      </c>
      <c r="V892" s="34" t="str">
        <f>IF(AND('PL1(Full)'!$H892="Thôn",'PL1(Full)'!$I892&lt;140),"x",IF(AND('PL1(Full)'!$H892="Tổ",'PL1(Full)'!$I892&lt;210),"x","-"))</f>
        <v>x</v>
      </c>
      <c r="W892" s="40" t="str">
        <f t="shared" si="148"/>
        <v>Loại 3</v>
      </c>
      <c r="X892" s="32"/>
    </row>
    <row r="893" spans="1:24" ht="15.75" customHeight="1">
      <c r="A893" s="30">
        <f>_xlfn.AGGREGATE(4,7,A$6:A892)+1</f>
        <v>662</v>
      </c>
      <c r="B893" s="66" t="str">
        <f t="shared" si="147"/>
        <v>H. Na Rì</v>
      </c>
      <c r="C893" s="33" t="str">
        <f t="shared" si="162"/>
        <v>X. Văn Minh</v>
      </c>
      <c r="D893" s="32"/>
      <c r="E893" s="32" t="s">
        <v>58</v>
      </c>
      <c r="F893" s="33" t="s">
        <v>970</v>
      </c>
      <c r="G893" s="34" t="s">
        <v>40</v>
      </c>
      <c r="H893" s="32" t="str">
        <f>IF(LEFT('PL1(Full)'!$F893,4)="Thôn","Thôn","Tổ")</f>
        <v>Thôn</v>
      </c>
      <c r="I893" s="35">
        <v>30</v>
      </c>
      <c r="J893" s="35">
        <v>138</v>
      </c>
      <c r="K893" s="35">
        <v>30</v>
      </c>
      <c r="L893" s="37">
        <f t="shared" si="0"/>
        <v>100</v>
      </c>
      <c r="M893" s="35">
        <v>13</v>
      </c>
      <c r="N893" s="38">
        <f t="shared" si="1"/>
        <v>43.333333333333336</v>
      </c>
      <c r="O893" s="35">
        <v>13</v>
      </c>
      <c r="P893" s="38">
        <f t="shared" si="2"/>
        <v>100</v>
      </c>
      <c r="Q893" s="134" t="s">
        <v>56</v>
      </c>
      <c r="R893" s="134" t="str">
        <f t="shared" si="3"/>
        <v>X</v>
      </c>
      <c r="S893" s="135" t="s">
        <v>60</v>
      </c>
      <c r="T893" s="34" t="str">
        <f>IF('PL1(Full)'!$N893&gt;=20,"x",IF(AND('PL1(Full)'!$N893&gt;=15,'PL1(Full)'!$P893&gt;60),"x",""))</f>
        <v>x</v>
      </c>
      <c r="U893" s="34" t="str">
        <f>IF(AND('PL1(Full)'!$H893="Thôn",'PL1(Full)'!$I893&lt;75),"x",IF(AND('PL1(Full)'!$H893="Tổ",'PL1(Full)'!$I893&lt;100),"x","-"))</f>
        <v>x</v>
      </c>
      <c r="V893" s="50" t="str">
        <f>IF(AND('PL1(Full)'!$H893="Thôn",'PL1(Full)'!$I893&lt;140),"x",IF(AND('PL1(Full)'!$H893="Tổ",'PL1(Full)'!$I893&lt;210),"x","-"))</f>
        <v>x</v>
      </c>
      <c r="W893" s="40" t="str">
        <f t="shared" si="148"/>
        <v>Loại 3</v>
      </c>
      <c r="X893" s="32"/>
    </row>
    <row r="894" spans="1:24" ht="15.75" customHeight="1">
      <c r="A894" s="30">
        <f>_xlfn.AGGREGATE(4,7,A$6:A893)+1</f>
        <v>663</v>
      </c>
      <c r="B894" s="66" t="str">
        <f t="shared" si="147"/>
        <v>H. Na Rì</v>
      </c>
      <c r="C894" s="33" t="str">
        <f t="shared" si="162"/>
        <v>X. Văn Minh</v>
      </c>
      <c r="D894" s="32"/>
      <c r="E894" s="32" t="s">
        <v>58</v>
      </c>
      <c r="F894" s="33" t="s">
        <v>971</v>
      </c>
      <c r="G894" s="32"/>
      <c r="H894" s="32" t="str">
        <f>IF(LEFT('PL1(Full)'!$F894,4)="Thôn","Thôn","Tổ")</f>
        <v>Thôn</v>
      </c>
      <c r="I894" s="35">
        <v>27</v>
      </c>
      <c r="J894" s="35">
        <v>120</v>
      </c>
      <c r="K894" s="35">
        <v>27</v>
      </c>
      <c r="L894" s="37">
        <f t="shared" si="0"/>
        <v>100</v>
      </c>
      <c r="M894" s="35">
        <v>8</v>
      </c>
      <c r="N894" s="38">
        <f t="shared" si="1"/>
        <v>29.62962962962963</v>
      </c>
      <c r="O894" s="35">
        <v>8</v>
      </c>
      <c r="P894" s="38">
        <f t="shared" si="2"/>
        <v>100</v>
      </c>
      <c r="Q894" s="134" t="s">
        <v>63</v>
      </c>
      <c r="R894" s="134" t="str">
        <f t="shared" si="3"/>
        <v>X</v>
      </c>
      <c r="S894" s="135"/>
      <c r="T894" s="34" t="str">
        <f>IF('PL1(Full)'!$N894&gt;=20,"x",IF(AND('PL1(Full)'!$N894&gt;=15,'PL1(Full)'!$P894&gt;60),"x",""))</f>
        <v>x</v>
      </c>
      <c r="U894" s="34" t="str">
        <f>IF(AND('PL1(Full)'!$H894="Thôn",'PL1(Full)'!$I894&lt;75),"x",IF(AND('PL1(Full)'!$H894="Tổ",'PL1(Full)'!$I894&lt;100),"x","-"))</f>
        <v>x</v>
      </c>
      <c r="V894" s="145" t="str">
        <f>IF(AND('PL1(Full)'!$H894="Thôn",'PL1(Full)'!$I894&lt;140),"x",IF(AND('PL1(Full)'!$H894="Tổ",'PL1(Full)'!$I894&lt;210),"x","-"))</f>
        <v>x</v>
      </c>
      <c r="W894" s="40" t="str">
        <f t="shared" si="148"/>
        <v>Loại 3</v>
      </c>
      <c r="X894" s="32"/>
    </row>
    <row r="895" spans="1:24" ht="15.75" customHeight="1">
      <c r="A895" s="41">
        <f>_xlfn.AGGREGATE(4,7,A$6:A894)+1</f>
        <v>664</v>
      </c>
      <c r="B895" s="67" t="str">
        <f t="shared" si="147"/>
        <v>H. Na Rì</v>
      </c>
      <c r="C895" s="44" t="str">
        <f t="shared" si="162"/>
        <v>X. Văn Minh</v>
      </c>
      <c r="D895" s="43"/>
      <c r="E895" s="43" t="s">
        <v>58</v>
      </c>
      <c r="F895" s="44" t="s">
        <v>972</v>
      </c>
      <c r="G895" s="43"/>
      <c r="H895" s="43" t="str">
        <f>IF(LEFT('PL1(Full)'!$F895,4)="Thôn","Thôn","Tổ")</f>
        <v>Thôn</v>
      </c>
      <c r="I895" s="45">
        <v>16</v>
      </c>
      <c r="J895" s="45">
        <v>59</v>
      </c>
      <c r="K895" s="45">
        <v>16</v>
      </c>
      <c r="L895" s="47">
        <f t="shared" si="0"/>
        <v>100</v>
      </c>
      <c r="M895" s="45">
        <v>10</v>
      </c>
      <c r="N895" s="48">
        <f t="shared" si="1"/>
        <v>62.5</v>
      </c>
      <c r="O895" s="45">
        <v>10</v>
      </c>
      <c r="P895" s="48">
        <f t="shared" si="2"/>
        <v>100</v>
      </c>
      <c r="Q895" s="136" t="s">
        <v>56</v>
      </c>
      <c r="R895" s="136" t="str">
        <f t="shared" si="3"/>
        <v>X</v>
      </c>
      <c r="S895" s="137" t="s">
        <v>60</v>
      </c>
      <c r="T895" s="50" t="str">
        <f>IF('PL1(Full)'!$N895&gt;=20,"x",IF(AND('PL1(Full)'!$N895&gt;=15,'PL1(Full)'!$P895&gt;60),"x",""))</f>
        <v>x</v>
      </c>
      <c r="U895" s="50" t="str">
        <f>IF(AND('PL1(Full)'!$H895="Thôn",'PL1(Full)'!$I895&lt;75),"x",IF(AND('PL1(Full)'!$H895="Tổ",'PL1(Full)'!$I895&lt;100),"x","-"))</f>
        <v>x</v>
      </c>
      <c r="V895" s="34" t="str">
        <f>IF(AND('PL1(Full)'!$H895="Thôn",'PL1(Full)'!$I895&lt;140),"x",IF(AND('PL1(Full)'!$H895="Tổ",'PL1(Full)'!$I895&lt;210),"x","-"))</f>
        <v>x</v>
      </c>
      <c r="W895" s="51" t="str">
        <f t="shared" si="148"/>
        <v>Loại 3</v>
      </c>
      <c r="X895" s="43"/>
    </row>
    <row r="896" spans="1:24" ht="15.75" customHeight="1">
      <c r="A896" s="52">
        <f>_xlfn.AGGREGATE(4,7,A$6:A895)+1</f>
        <v>665</v>
      </c>
      <c r="B896" s="65" t="str">
        <f t="shared" si="147"/>
        <v>H. Na Rì</v>
      </c>
      <c r="C896" s="14" t="s">
        <v>973</v>
      </c>
      <c r="D896" s="15" t="s">
        <v>58</v>
      </c>
      <c r="E896" s="16" t="s">
        <v>58</v>
      </c>
      <c r="F896" s="17" t="s">
        <v>882</v>
      </c>
      <c r="G896" s="18"/>
      <c r="H896" s="18" t="str">
        <f>IF(LEFT('PL1(Full)'!$F896,4)="Thôn","Thôn","Tổ")</f>
        <v>Thôn</v>
      </c>
      <c r="I896" s="19">
        <v>38</v>
      </c>
      <c r="J896" s="19">
        <v>180</v>
      </c>
      <c r="K896" s="19">
        <v>38</v>
      </c>
      <c r="L896" s="21">
        <f t="shared" si="0"/>
        <v>100</v>
      </c>
      <c r="M896" s="19">
        <v>6</v>
      </c>
      <c r="N896" s="22">
        <f t="shared" si="1"/>
        <v>15.789473684210526</v>
      </c>
      <c r="O896" s="19">
        <v>6</v>
      </c>
      <c r="P896" s="22">
        <f t="shared" si="2"/>
        <v>100</v>
      </c>
      <c r="Q896" s="132" t="s">
        <v>330</v>
      </c>
      <c r="R896" s="132" t="str">
        <f t="shared" si="3"/>
        <v>X</v>
      </c>
      <c r="S896" s="133"/>
      <c r="T896" s="26" t="str">
        <f>IF('PL1(Full)'!$N896&gt;=20,"x",IF(AND('PL1(Full)'!$N896&gt;=15,'PL1(Full)'!$P896&gt;60),"x",""))</f>
        <v>x</v>
      </c>
      <c r="U896" s="27" t="str">
        <f>IF(AND('PL1(Full)'!$H896="Thôn",'PL1(Full)'!$I896&lt;75),"x",IF(AND('PL1(Full)'!$H896="Tổ",'PL1(Full)'!$I896&lt;100),"x","-"))</f>
        <v>x</v>
      </c>
      <c r="V896" s="28" t="str">
        <f>IF(AND('PL1(Full)'!$H896="Thôn",'PL1(Full)'!$I896&lt;140),"x",IF(AND('PL1(Full)'!$H896="Tổ",'PL1(Full)'!$I896&lt;210),"x","-"))</f>
        <v>x</v>
      </c>
      <c r="W896" s="29" t="str">
        <f t="shared" si="148"/>
        <v>Loại 3</v>
      </c>
      <c r="X896" s="18"/>
    </row>
    <row r="897" spans="1:24" ht="15.75" customHeight="1">
      <c r="A897" s="30">
        <f>_xlfn.AGGREGATE(4,7,A$6:A896)+1</f>
        <v>666</v>
      </c>
      <c r="B897" s="66" t="str">
        <f t="shared" si="147"/>
        <v>H. Na Rì</v>
      </c>
      <c r="C897" s="33" t="str">
        <f t="shared" ref="C897:C917" si="163">C896</f>
        <v>X. Văn Vũ</v>
      </c>
      <c r="D897" s="32"/>
      <c r="E897" s="32" t="s">
        <v>58</v>
      </c>
      <c r="F897" s="33" t="s">
        <v>974</v>
      </c>
      <c r="G897" s="32"/>
      <c r="H897" s="32" t="str">
        <f>IF(LEFT('PL1(Full)'!$F897,4)="Thôn","Thôn","Tổ")</f>
        <v>Thôn</v>
      </c>
      <c r="I897" s="35">
        <v>32</v>
      </c>
      <c r="J897" s="35">
        <v>118</v>
      </c>
      <c r="K897" s="35">
        <v>32</v>
      </c>
      <c r="L897" s="37">
        <f t="shared" si="0"/>
        <v>100</v>
      </c>
      <c r="M897" s="35">
        <v>15</v>
      </c>
      <c r="N897" s="38">
        <f t="shared" si="1"/>
        <v>46.875</v>
      </c>
      <c r="O897" s="35">
        <v>15</v>
      </c>
      <c r="P897" s="38">
        <f t="shared" si="2"/>
        <v>100</v>
      </c>
      <c r="Q897" s="134" t="s">
        <v>63</v>
      </c>
      <c r="R897" s="134" t="str">
        <f t="shared" si="3"/>
        <v>X</v>
      </c>
      <c r="S897" s="135" t="s">
        <v>60</v>
      </c>
      <c r="T897" s="34" t="str">
        <f>IF('PL1(Full)'!$N897&gt;=20,"x",IF(AND('PL1(Full)'!$N897&gt;=15,'PL1(Full)'!$P897&gt;60),"x",""))</f>
        <v>x</v>
      </c>
      <c r="U897" s="34" t="str">
        <f>IF(AND('PL1(Full)'!$H897="Thôn",'PL1(Full)'!$I897&lt;75),"x",IF(AND('PL1(Full)'!$H897="Tổ",'PL1(Full)'!$I897&lt;100),"x","-"))</f>
        <v>x</v>
      </c>
      <c r="V897" s="34" t="str">
        <f>IF(AND('PL1(Full)'!$H897="Thôn",'PL1(Full)'!$I897&lt;140),"x",IF(AND('PL1(Full)'!$H897="Tổ",'PL1(Full)'!$I897&lt;210),"x","-"))</f>
        <v>x</v>
      </c>
      <c r="W897" s="40" t="str">
        <f t="shared" si="148"/>
        <v>Loại 3</v>
      </c>
      <c r="X897" s="32"/>
    </row>
    <row r="898" spans="1:24" ht="15.75" customHeight="1">
      <c r="A898" s="30">
        <f>_xlfn.AGGREGATE(4,7,A$6:A897)+1</f>
        <v>667</v>
      </c>
      <c r="B898" s="66" t="str">
        <f t="shared" si="147"/>
        <v>H. Na Rì</v>
      </c>
      <c r="C898" s="33" t="str">
        <f t="shared" si="163"/>
        <v>X. Văn Vũ</v>
      </c>
      <c r="D898" s="32"/>
      <c r="E898" s="32" t="s">
        <v>58</v>
      </c>
      <c r="F898" s="33" t="s">
        <v>975</v>
      </c>
      <c r="G898" s="32"/>
      <c r="H898" s="32" t="str">
        <f>IF(LEFT('PL1(Full)'!$F898,4)="Thôn","Thôn","Tổ")</f>
        <v>Thôn</v>
      </c>
      <c r="I898" s="35">
        <v>25</v>
      </c>
      <c r="J898" s="35">
        <v>110</v>
      </c>
      <c r="K898" s="35">
        <v>25</v>
      </c>
      <c r="L898" s="37">
        <f t="shared" si="0"/>
        <v>100</v>
      </c>
      <c r="M898" s="35">
        <v>17</v>
      </c>
      <c r="N898" s="38">
        <f t="shared" si="1"/>
        <v>68</v>
      </c>
      <c r="O898" s="35">
        <v>17</v>
      </c>
      <c r="P898" s="38">
        <f t="shared" si="2"/>
        <v>100</v>
      </c>
      <c r="Q898" s="134" t="s">
        <v>52</v>
      </c>
      <c r="R898" s="134" t="str">
        <f t="shared" si="3"/>
        <v>C</v>
      </c>
      <c r="S898" s="135" t="s">
        <v>60</v>
      </c>
      <c r="T898" s="34" t="str">
        <f>IF('PL1(Full)'!$N898&gt;=20,"x",IF(AND('PL1(Full)'!$N898&gt;=15,'PL1(Full)'!$P898&gt;60),"x",""))</f>
        <v>x</v>
      </c>
      <c r="U898" s="34" t="str">
        <f>IF(AND('PL1(Full)'!$H898="Thôn",'PL1(Full)'!$I898&lt;75),"x",IF(AND('PL1(Full)'!$H898="Tổ",'PL1(Full)'!$I898&lt;100),"x","-"))</f>
        <v>x</v>
      </c>
      <c r="V898" s="34" t="str">
        <f>IF(AND('PL1(Full)'!$H898="Thôn",'PL1(Full)'!$I898&lt;140),"x",IF(AND('PL1(Full)'!$H898="Tổ",'PL1(Full)'!$I898&lt;210),"x","-"))</f>
        <v>x</v>
      </c>
      <c r="W898" s="40" t="str">
        <f t="shared" si="148"/>
        <v>Loại 3</v>
      </c>
      <c r="X898" s="32"/>
    </row>
    <row r="899" spans="1:24" ht="15.75" customHeight="1">
      <c r="A899" s="30">
        <f>_xlfn.AGGREGATE(4,7,A$6:A898)+1</f>
        <v>668</v>
      </c>
      <c r="B899" s="66" t="str">
        <f t="shared" si="147"/>
        <v>H. Na Rì</v>
      </c>
      <c r="C899" s="33" t="str">
        <f t="shared" si="163"/>
        <v>X. Văn Vũ</v>
      </c>
      <c r="D899" s="32"/>
      <c r="E899" s="32" t="s">
        <v>58</v>
      </c>
      <c r="F899" s="33" t="s">
        <v>874</v>
      </c>
      <c r="G899" s="32"/>
      <c r="H899" s="32" t="str">
        <f>IF(LEFT('PL1(Full)'!$F899,4)="Thôn","Thôn","Tổ")</f>
        <v>Thôn</v>
      </c>
      <c r="I899" s="35">
        <v>9</v>
      </c>
      <c r="J899" s="35">
        <v>38</v>
      </c>
      <c r="K899" s="35">
        <v>9</v>
      </c>
      <c r="L899" s="37">
        <f t="shared" si="0"/>
        <v>100</v>
      </c>
      <c r="M899" s="35">
        <v>9</v>
      </c>
      <c r="N899" s="38">
        <f t="shared" si="1"/>
        <v>100</v>
      </c>
      <c r="O899" s="35">
        <v>9</v>
      </c>
      <c r="P899" s="38">
        <f t="shared" si="2"/>
        <v>100</v>
      </c>
      <c r="Q899" s="134" t="s">
        <v>52</v>
      </c>
      <c r="R899" s="134" t="str">
        <f t="shared" si="3"/>
        <v>C</v>
      </c>
      <c r="S899" s="135" t="s">
        <v>60</v>
      </c>
      <c r="T899" s="34" t="str">
        <f>IF('PL1(Full)'!$N899&gt;=20,"x",IF(AND('PL1(Full)'!$N899&gt;=15,'PL1(Full)'!$P899&gt;60),"x",""))</f>
        <v>x</v>
      </c>
      <c r="U899" s="34" t="str">
        <f>IF(AND('PL1(Full)'!$H899="Thôn",'PL1(Full)'!$I899&lt;75),"x",IF(AND('PL1(Full)'!$H899="Tổ",'PL1(Full)'!$I899&lt;100),"x","-"))</f>
        <v>x</v>
      </c>
      <c r="V899" s="34" t="str">
        <f>IF(AND('PL1(Full)'!$H899="Thôn",'PL1(Full)'!$I899&lt;140),"x",IF(AND('PL1(Full)'!$H899="Tổ",'PL1(Full)'!$I899&lt;210),"x","-"))</f>
        <v>x</v>
      </c>
      <c r="W899" s="40" t="str">
        <f t="shared" si="148"/>
        <v>Loại 3</v>
      </c>
      <c r="X899" s="32"/>
    </row>
    <row r="900" spans="1:24" ht="15.75" customHeight="1">
      <c r="A900" s="30">
        <f>_xlfn.AGGREGATE(4,7,A$6:A899)+1</f>
        <v>669</v>
      </c>
      <c r="B900" s="66" t="str">
        <f t="shared" si="147"/>
        <v>H. Na Rì</v>
      </c>
      <c r="C900" s="33" t="str">
        <f t="shared" si="163"/>
        <v>X. Văn Vũ</v>
      </c>
      <c r="D900" s="32"/>
      <c r="E900" s="32" t="s">
        <v>58</v>
      </c>
      <c r="F900" s="33" t="s">
        <v>976</v>
      </c>
      <c r="G900" s="32"/>
      <c r="H900" s="32" t="str">
        <f>IF(LEFT('PL1(Full)'!$F900,4)="Thôn","Thôn","Tổ")</f>
        <v>Thôn</v>
      </c>
      <c r="I900" s="35">
        <v>26</v>
      </c>
      <c r="J900" s="35">
        <v>109</v>
      </c>
      <c r="K900" s="35">
        <v>26</v>
      </c>
      <c r="L900" s="37">
        <f t="shared" si="0"/>
        <v>100</v>
      </c>
      <c r="M900" s="35">
        <v>22</v>
      </c>
      <c r="N900" s="38">
        <f t="shared" si="1"/>
        <v>84.615384615384613</v>
      </c>
      <c r="O900" s="35">
        <v>22</v>
      </c>
      <c r="P900" s="38">
        <f t="shared" si="2"/>
        <v>100</v>
      </c>
      <c r="Q900" s="134" t="s">
        <v>52</v>
      </c>
      <c r="R900" s="134" t="str">
        <f t="shared" si="3"/>
        <v>C</v>
      </c>
      <c r="S900" s="135" t="s">
        <v>60</v>
      </c>
      <c r="T900" s="34" t="str">
        <f>IF('PL1(Full)'!$N900&gt;=20,"x",IF(AND('PL1(Full)'!$N900&gt;=15,'PL1(Full)'!$P900&gt;60),"x",""))</f>
        <v>x</v>
      </c>
      <c r="U900" s="34" t="str">
        <f>IF(AND('PL1(Full)'!$H900="Thôn",'PL1(Full)'!$I900&lt;75),"x",IF(AND('PL1(Full)'!$H900="Tổ",'PL1(Full)'!$I900&lt;100),"x","-"))</f>
        <v>x</v>
      </c>
      <c r="V900" s="34" t="str">
        <f>IF(AND('PL1(Full)'!$H900="Thôn",'PL1(Full)'!$I900&lt;140),"x",IF(AND('PL1(Full)'!$H900="Tổ",'PL1(Full)'!$I900&lt;210),"x","-"))</f>
        <v>x</v>
      </c>
      <c r="W900" s="40" t="str">
        <f t="shared" si="148"/>
        <v>Loại 3</v>
      </c>
      <c r="X900" s="32"/>
    </row>
    <row r="901" spans="1:24" ht="15.75" customHeight="1">
      <c r="A901" s="30">
        <f>_xlfn.AGGREGATE(4,7,A$6:A900)+1</f>
        <v>670</v>
      </c>
      <c r="B901" s="66" t="str">
        <f t="shared" si="147"/>
        <v>H. Na Rì</v>
      </c>
      <c r="C901" s="33" t="str">
        <f t="shared" si="163"/>
        <v>X. Văn Vũ</v>
      </c>
      <c r="D901" s="32"/>
      <c r="E901" s="32" t="s">
        <v>58</v>
      </c>
      <c r="F901" s="33" t="s">
        <v>977</v>
      </c>
      <c r="G901" s="32"/>
      <c r="H901" s="32" t="str">
        <f>IF(LEFT('PL1(Full)'!$F901,4)="Thôn","Thôn","Tổ")</f>
        <v>Thôn</v>
      </c>
      <c r="I901" s="35">
        <v>50</v>
      </c>
      <c r="J901" s="35">
        <v>197</v>
      </c>
      <c r="K901" s="35">
        <v>50</v>
      </c>
      <c r="L901" s="37">
        <f t="shared" si="0"/>
        <v>100</v>
      </c>
      <c r="M901" s="35">
        <v>30</v>
      </c>
      <c r="N901" s="38">
        <f t="shared" si="1"/>
        <v>60</v>
      </c>
      <c r="O901" s="35">
        <v>30</v>
      </c>
      <c r="P901" s="38">
        <f t="shared" si="2"/>
        <v>100</v>
      </c>
      <c r="Q901" s="134" t="s">
        <v>63</v>
      </c>
      <c r="R901" s="134" t="str">
        <f t="shared" si="3"/>
        <v>X</v>
      </c>
      <c r="S901" s="135" t="s">
        <v>60</v>
      </c>
      <c r="T901" s="34" t="str">
        <f>IF('PL1(Full)'!$N901&gt;=20,"x",IF(AND('PL1(Full)'!$N901&gt;=15,'PL1(Full)'!$P901&gt;60),"x",""))</f>
        <v>x</v>
      </c>
      <c r="U901" s="34" t="str">
        <f>IF(AND('PL1(Full)'!$H901="Thôn",'PL1(Full)'!$I901&lt;75),"x",IF(AND('PL1(Full)'!$H901="Tổ",'PL1(Full)'!$I901&lt;100),"x","-"))</f>
        <v>x</v>
      </c>
      <c r="V901" s="34" t="str">
        <f>IF(AND('PL1(Full)'!$H901="Thôn",'PL1(Full)'!$I901&lt;140),"x",IF(AND('PL1(Full)'!$H901="Tổ",'PL1(Full)'!$I901&lt;210),"x","-"))</f>
        <v>x</v>
      </c>
      <c r="W901" s="40" t="str">
        <f t="shared" si="148"/>
        <v>Loại 3</v>
      </c>
      <c r="X901" s="32"/>
    </row>
    <row r="902" spans="1:24" ht="15.75" customHeight="1">
      <c r="A902" s="30">
        <f>_xlfn.AGGREGATE(4,7,A$6:A901)+1</f>
        <v>671</v>
      </c>
      <c r="B902" s="66" t="str">
        <f t="shared" si="147"/>
        <v>H. Na Rì</v>
      </c>
      <c r="C902" s="33" t="str">
        <f t="shared" si="163"/>
        <v>X. Văn Vũ</v>
      </c>
      <c r="D902" s="32"/>
      <c r="E902" s="32" t="s">
        <v>58</v>
      </c>
      <c r="F902" s="33" t="s">
        <v>978</v>
      </c>
      <c r="G902" s="32"/>
      <c r="H902" s="32" t="str">
        <f>IF(LEFT('PL1(Full)'!$F902,4)="Thôn","Thôn","Tổ")</f>
        <v>Thôn</v>
      </c>
      <c r="I902" s="35">
        <v>26</v>
      </c>
      <c r="J902" s="35">
        <v>126</v>
      </c>
      <c r="K902" s="35">
        <v>26</v>
      </c>
      <c r="L902" s="37">
        <f t="shared" si="0"/>
        <v>100</v>
      </c>
      <c r="M902" s="35">
        <v>10</v>
      </c>
      <c r="N902" s="38">
        <f t="shared" si="1"/>
        <v>38.46153846153846</v>
      </c>
      <c r="O902" s="35">
        <v>10</v>
      </c>
      <c r="P902" s="38">
        <f t="shared" si="2"/>
        <v>100</v>
      </c>
      <c r="Q902" s="134" t="s">
        <v>63</v>
      </c>
      <c r="R902" s="134" t="str">
        <f t="shared" si="3"/>
        <v>X</v>
      </c>
      <c r="S902" s="135" t="s">
        <v>60</v>
      </c>
      <c r="T902" s="34" t="str">
        <f>IF('PL1(Full)'!$N902&gt;=20,"x",IF(AND('PL1(Full)'!$N902&gt;=15,'PL1(Full)'!$P902&gt;60),"x",""))</f>
        <v>x</v>
      </c>
      <c r="U902" s="34" t="str">
        <f>IF(AND('PL1(Full)'!$H902="Thôn",'PL1(Full)'!$I902&lt;75),"x",IF(AND('PL1(Full)'!$H902="Tổ",'PL1(Full)'!$I902&lt;100),"x","-"))</f>
        <v>x</v>
      </c>
      <c r="V902" s="34" t="str">
        <f>IF(AND('PL1(Full)'!$H902="Thôn",'PL1(Full)'!$I902&lt;140),"x",IF(AND('PL1(Full)'!$H902="Tổ",'PL1(Full)'!$I902&lt;210),"x","-"))</f>
        <v>x</v>
      </c>
      <c r="W902" s="40" t="str">
        <f t="shared" si="148"/>
        <v>Loại 3</v>
      </c>
      <c r="X902" s="32"/>
    </row>
    <row r="903" spans="1:24" ht="15.75" customHeight="1">
      <c r="A903" s="30">
        <f>_xlfn.AGGREGATE(4,7,A$6:A902)+1</f>
        <v>672</v>
      </c>
      <c r="B903" s="66" t="str">
        <f t="shared" si="147"/>
        <v>H. Na Rì</v>
      </c>
      <c r="C903" s="33" t="str">
        <f t="shared" si="163"/>
        <v>X. Văn Vũ</v>
      </c>
      <c r="D903" s="32"/>
      <c r="E903" s="32" t="s">
        <v>58</v>
      </c>
      <c r="F903" s="33" t="s">
        <v>818</v>
      </c>
      <c r="G903" s="32"/>
      <c r="H903" s="32" t="str">
        <f>IF(LEFT('PL1(Full)'!$F903,4)="Thôn","Thôn","Tổ")</f>
        <v>Thôn</v>
      </c>
      <c r="I903" s="35">
        <v>33</v>
      </c>
      <c r="J903" s="35">
        <v>148</v>
      </c>
      <c r="K903" s="35">
        <v>33</v>
      </c>
      <c r="L903" s="37">
        <f t="shared" si="0"/>
        <v>100</v>
      </c>
      <c r="M903" s="35">
        <v>17</v>
      </c>
      <c r="N903" s="38">
        <f t="shared" si="1"/>
        <v>51.515151515151516</v>
      </c>
      <c r="O903" s="35">
        <v>17</v>
      </c>
      <c r="P903" s="38">
        <f t="shared" si="2"/>
        <v>100</v>
      </c>
      <c r="Q903" s="134" t="s">
        <v>52</v>
      </c>
      <c r="R903" s="134" t="str">
        <f t="shared" si="3"/>
        <v>C</v>
      </c>
      <c r="S903" s="135" t="s">
        <v>60</v>
      </c>
      <c r="T903" s="34" t="str">
        <f>IF('PL1(Full)'!$N903&gt;=20,"x",IF(AND('PL1(Full)'!$N903&gt;=15,'PL1(Full)'!$P903&gt;60),"x",""))</f>
        <v>x</v>
      </c>
      <c r="U903" s="34" t="str">
        <f>IF(AND('PL1(Full)'!$H903="Thôn",'PL1(Full)'!$I903&lt;75),"x",IF(AND('PL1(Full)'!$H903="Tổ",'PL1(Full)'!$I903&lt;100),"x","-"))</f>
        <v>x</v>
      </c>
      <c r="V903" s="34" t="str">
        <f>IF(AND('PL1(Full)'!$H903="Thôn",'PL1(Full)'!$I903&lt;140),"x",IF(AND('PL1(Full)'!$H903="Tổ",'PL1(Full)'!$I903&lt;210),"x","-"))</f>
        <v>x</v>
      </c>
      <c r="W903" s="40" t="str">
        <f t="shared" si="148"/>
        <v>Loại 3</v>
      </c>
      <c r="X903" s="32"/>
    </row>
    <row r="904" spans="1:24" ht="15.75" customHeight="1">
      <c r="A904" s="30">
        <f>_xlfn.AGGREGATE(4,7,A$6:A903)+1</f>
        <v>673</v>
      </c>
      <c r="B904" s="66" t="str">
        <f t="shared" si="147"/>
        <v>H. Na Rì</v>
      </c>
      <c r="C904" s="33" t="str">
        <f t="shared" si="163"/>
        <v>X. Văn Vũ</v>
      </c>
      <c r="D904" s="32"/>
      <c r="E904" s="32" t="s">
        <v>58</v>
      </c>
      <c r="F904" s="33" t="s">
        <v>979</v>
      </c>
      <c r="G904" s="32"/>
      <c r="H904" s="32" t="str">
        <f>IF(LEFT('PL1(Full)'!$F904,4)="Thôn","Thôn","Tổ")</f>
        <v>Thôn</v>
      </c>
      <c r="I904" s="35">
        <v>17</v>
      </c>
      <c r="J904" s="35">
        <v>69</v>
      </c>
      <c r="K904" s="35">
        <v>17</v>
      </c>
      <c r="L904" s="37">
        <f t="shared" si="0"/>
        <v>100</v>
      </c>
      <c r="M904" s="35">
        <v>6</v>
      </c>
      <c r="N904" s="38">
        <f t="shared" si="1"/>
        <v>35.294117647058826</v>
      </c>
      <c r="O904" s="35">
        <v>6</v>
      </c>
      <c r="P904" s="38">
        <f t="shared" si="2"/>
        <v>100</v>
      </c>
      <c r="Q904" s="134" t="s">
        <v>63</v>
      </c>
      <c r="R904" s="134" t="str">
        <f t="shared" si="3"/>
        <v>X</v>
      </c>
      <c r="S904" s="135"/>
      <c r="T904" s="34" t="str">
        <f>IF('PL1(Full)'!$N904&gt;=20,"x",IF(AND('PL1(Full)'!$N904&gt;=15,'PL1(Full)'!$P904&gt;60),"x",""))</f>
        <v>x</v>
      </c>
      <c r="U904" s="34" t="str">
        <f>IF(AND('PL1(Full)'!$H904="Thôn",'PL1(Full)'!$I904&lt;75),"x",IF(AND('PL1(Full)'!$H904="Tổ",'PL1(Full)'!$I904&lt;100),"x","-"))</f>
        <v>x</v>
      </c>
      <c r="V904" s="34" t="str">
        <f>IF(AND('PL1(Full)'!$H904="Thôn",'PL1(Full)'!$I904&lt;140),"x",IF(AND('PL1(Full)'!$H904="Tổ",'PL1(Full)'!$I904&lt;210),"x","-"))</f>
        <v>x</v>
      </c>
      <c r="W904" s="40" t="str">
        <f t="shared" si="148"/>
        <v>Loại 3</v>
      </c>
      <c r="X904" s="32"/>
    </row>
    <row r="905" spans="1:24" ht="15.75" customHeight="1">
      <c r="A905" s="30">
        <f>_xlfn.AGGREGATE(4,7,A$6:A904)+1</f>
        <v>674</v>
      </c>
      <c r="B905" s="66" t="str">
        <f t="shared" si="147"/>
        <v>H. Na Rì</v>
      </c>
      <c r="C905" s="33" t="str">
        <f t="shared" si="163"/>
        <v>X. Văn Vũ</v>
      </c>
      <c r="D905" s="32"/>
      <c r="E905" s="32" t="s">
        <v>58</v>
      </c>
      <c r="F905" s="33" t="s">
        <v>966</v>
      </c>
      <c r="G905" s="32"/>
      <c r="H905" s="32" t="str">
        <f>IF(LEFT('PL1(Full)'!$F905,4)="Thôn","Thôn","Tổ")</f>
        <v>Thôn</v>
      </c>
      <c r="I905" s="35">
        <v>34</v>
      </c>
      <c r="J905" s="35">
        <v>135</v>
      </c>
      <c r="K905" s="35">
        <v>34</v>
      </c>
      <c r="L905" s="37">
        <f t="shared" si="0"/>
        <v>100</v>
      </c>
      <c r="M905" s="35">
        <v>17</v>
      </c>
      <c r="N905" s="38">
        <f t="shared" si="1"/>
        <v>50</v>
      </c>
      <c r="O905" s="35">
        <v>17</v>
      </c>
      <c r="P905" s="38">
        <f t="shared" si="2"/>
        <v>100</v>
      </c>
      <c r="Q905" s="134" t="s">
        <v>63</v>
      </c>
      <c r="R905" s="134" t="str">
        <f t="shared" si="3"/>
        <v>X</v>
      </c>
      <c r="S905" s="135" t="s">
        <v>60</v>
      </c>
      <c r="T905" s="34" t="str">
        <f>IF('PL1(Full)'!$N905&gt;=20,"x",IF(AND('PL1(Full)'!$N905&gt;=15,'PL1(Full)'!$P905&gt;60),"x",""))</f>
        <v>x</v>
      </c>
      <c r="U905" s="34" t="str">
        <f>IF(AND('PL1(Full)'!$H905="Thôn",'PL1(Full)'!$I905&lt;75),"x",IF(AND('PL1(Full)'!$H905="Tổ",'PL1(Full)'!$I905&lt;100),"x","-"))</f>
        <v>x</v>
      </c>
      <c r="V905" s="34" t="str">
        <f>IF(AND('PL1(Full)'!$H905="Thôn",'PL1(Full)'!$I905&lt;140),"x",IF(AND('PL1(Full)'!$H905="Tổ",'PL1(Full)'!$I905&lt;210),"x","-"))</f>
        <v>x</v>
      </c>
      <c r="W905" s="40" t="str">
        <f t="shared" si="148"/>
        <v>Loại 3</v>
      </c>
      <c r="X905" s="32"/>
    </row>
    <row r="906" spans="1:24" ht="15.75" customHeight="1">
      <c r="A906" s="30">
        <f>_xlfn.AGGREGATE(4,7,A$6:A905)+1</f>
        <v>675</v>
      </c>
      <c r="B906" s="66" t="str">
        <f t="shared" si="147"/>
        <v>H. Na Rì</v>
      </c>
      <c r="C906" s="33" t="str">
        <f t="shared" si="163"/>
        <v>X. Văn Vũ</v>
      </c>
      <c r="D906" s="32"/>
      <c r="E906" s="32" t="s">
        <v>58</v>
      </c>
      <c r="F906" s="33" t="s">
        <v>980</v>
      </c>
      <c r="G906" s="32"/>
      <c r="H906" s="32" t="str">
        <f>IF(LEFT('PL1(Full)'!$F906,4)="Thôn","Thôn","Tổ")</f>
        <v>Thôn</v>
      </c>
      <c r="I906" s="35">
        <v>54</v>
      </c>
      <c r="J906" s="35">
        <v>219</v>
      </c>
      <c r="K906" s="35">
        <v>54</v>
      </c>
      <c r="L906" s="37">
        <f t="shared" si="0"/>
        <v>100</v>
      </c>
      <c r="M906" s="35">
        <v>18</v>
      </c>
      <c r="N906" s="38">
        <f t="shared" si="1"/>
        <v>33.333333333333336</v>
      </c>
      <c r="O906" s="35">
        <v>18</v>
      </c>
      <c r="P906" s="38">
        <f t="shared" si="2"/>
        <v>100</v>
      </c>
      <c r="Q906" s="134" t="s">
        <v>63</v>
      </c>
      <c r="R906" s="134" t="str">
        <f t="shared" si="3"/>
        <v>X</v>
      </c>
      <c r="S906" s="135"/>
      <c r="T906" s="34" t="str">
        <f>IF('PL1(Full)'!$N906&gt;=20,"x",IF(AND('PL1(Full)'!$N906&gt;=15,'PL1(Full)'!$P906&gt;60),"x",""))</f>
        <v>x</v>
      </c>
      <c r="U906" s="34" t="str">
        <f>IF(AND('PL1(Full)'!$H906="Thôn",'PL1(Full)'!$I906&lt;75),"x",IF(AND('PL1(Full)'!$H906="Tổ",'PL1(Full)'!$I906&lt;100),"x","-"))</f>
        <v>x</v>
      </c>
      <c r="V906" s="34" t="str">
        <f>IF(AND('PL1(Full)'!$H906="Thôn",'PL1(Full)'!$I906&lt;140),"x",IF(AND('PL1(Full)'!$H906="Tổ",'PL1(Full)'!$I906&lt;210),"x","-"))</f>
        <v>x</v>
      </c>
      <c r="W906" s="40" t="str">
        <f t="shared" si="148"/>
        <v>Loại 3</v>
      </c>
      <c r="X906" s="32"/>
    </row>
    <row r="907" spans="1:24" ht="15.75" customHeight="1">
      <c r="A907" s="30">
        <f>_xlfn.AGGREGATE(4,7,A$6:A906)+1</f>
        <v>676</v>
      </c>
      <c r="B907" s="66" t="str">
        <f t="shared" si="147"/>
        <v>H. Na Rì</v>
      </c>
      <c r="C907" s="33" t="str">
        <f t="shared" si="163"/>
        <v>X. Văn Vũ</v>
      </c>
      <c r="D907" s="32"/>
      <c r="E907" s="32" t="s">
        <v>58</v>
      </c>
      <c r="F907" s="33" t="s">
        <v>981</v>
      </c>
      <c r="G907" s="32"/>
      <c r="H907" s="32" t="str">
        <f>IF(LEFT('PL1(Full)'!$F907,4)="Thôn","Thôn","Tổ")</f>
        <v>Thôn</v>
      </c>
      <c r="I907" s="35">
        <v>27</v>
      </c>
      <c r="J907" s="35">
        <v>111</v>
      </c>
      <c r="K907" s="35">
        <v>27</v>
      </c>
      <c r="L907" s="37">
        <f t="shared" si="0"/>
        <v>100</v>
      </c>
      <c r="M907" s="35">
        <v>22</v>
      </c>
      <c r="N907" s="38">
        <f t="shared" si="1"/>
        <v>81.481481481481481</v>
      </c>
      <c r="O907" s="35">
        <v>22</v>
      </c>
      <c r="P907" s="38">
        <f t="shared" si="2"/>
        <v>100</v>
      </c>
      <c r="Q907" s="134" t="s">
        <v>52</v>
      </c>
      <c r="R907" s="134" t="str">
        <f t="shared" si="3"/>
        <v>C</v>
      </c>
      <c r="S907" s="135" t="s">
        <v>60</v>
      </c>
      <c r="T907" s="34" t="str">
        <f>IF('PL1(Full)'!$N907&gt;=20,"x",IF(AND('PL1(Full)'!$N907&gt;=15,'PL1(Full)'!$P907&gt;60),"x",""))</f>
        <v>x</v>
      </c>
      <c r="U907" s="34" t="str">
        <f>IF(AND('PL1(Full)'!$H907="Thôn",'PL1(Full)'!$I907&lt;75),"x",IF(AND('PL1(Full)'!$H907="Tổ",'PL1(Full)'!$I907&lt;100),"x","-"))</f>
        <v>x</v>
      </c>
      <c r="V907" s="34" t="str">
        <f>IF(AND('PL1(Full)'!$H907="Thôn",'PL1(Full)'!$I907&lt;140),"x",IF(AND('PL1(Full)'!$H907="Tổ",'PL1(Full)'!$I907&lt;210),"x","-"))</f>
        <v>x</v>
      </c>
      <c r="W907" s="40" t="str">
        <f t="shared" si="148"/>
        <v>Loại 3</v>
      </c>
      <c r="X907" s="32"/>
    </row>
    <row r="908" spans="1:24" ht="15.75" customHeight="1">
      <c r="A908" s="30">
        <f>_xlfn.AGGREGATE(4,7,A$6:A907)+1</f>
        <v>677</v>
      </c>
      <c r="B908" s="66" t="str">
        <f t="shared" si="147"/>
        <v>H. Na Rì</v>
      </c>
      <c r="C908" s="33" t="str">
        <f t="shared" si="163"/>
        <v>X. Văn Vũ</v>
      </c>
      <c r="D908" s="32"/>
      <c r="E908" s="32" t="s">
        <v>58</v>
      </c>
      <c r="F908" s="33" t="s">
        <v>982</v>
      </c>
      <c r="G908" s="32"/>
      <c r="H908" s="32" t="str">
        <f>IF(LEFT('PL1(Full)'!$F908,4)="Thôn","Thôn","Tổ")</f>
        <v>Thôn</v>
      </c>
      <c r="I908" s="35">
        <v>32</v>
      </c>
      <c r="J908" s="35">
        <v>134</v>
      </c>
      <c r="K908" s="35">
        <v>32</v>
      </c>
      <c r="L908" s="37">
        <f t="shared" si="0"/>
        <v>100</v>
      </c>
      <c r="M908" s="35">
        <v>24</v>
      </c>
      <c r="N908" s="38">
        <f t="shared" si="1"/>
        <v>75</v>
      </c>
      <c r="O908" s="35">
        <v>24</v>
      </c>
      <c r="P908" s="38">
        <f t="shared" si="2"/>
        <v>100</v>
      </c>
      <c r="Q908" s="134" t="s">
        <v>52</v>
      </c>
      <c r="R908" s="134" t="str">
        <f t="shared" si="3"/>
        <v>C</v>
      </c>
      <c r="S908" s="135" t="s">
        <v>60</v>
      </c>
      <c r="T908" s="34" t="str">
        <f>IF('PL1(Full)'!$N908&gt;=20,"x",IF(AND('PL1(Full)'!$N908&gt;=15,'PL1(Full)'!$P908&gt;60),"x",""))</f>
        <v>x</v>
      </c>
      <c r="U908" s="34" t="str">
        <f>IF(AND('PL1(Full)'!$H908="Thôn",'PL1(Full)'!$I908&lt;75),"x",IF(AND('PL1(Full)'!$H908="Tổ",'PL1(Full)'!$I908&lt;100),"x","-"))</f>
        <v>x</v>
      </c>
      <c r="V908" s="34" t="str">
        <f>IF(AND('PL1(Full)'!$H908="Thôn",'PL1(Full)'!$I908&lt;140),"x",IF(AND('PL1(Full)'!$H908="Tổ",'PL1(Full)'!$I908&lt;210),"x","-"))</f>
        <v>x</v>
      </c>
      <c r="W908" s="40" t="str">
        <f t="shared" si="148"/>
        <v>Loại 3</v>
      </c>
      <c r="X908" s="32"/>
    </row>
    <row r="909" spans="1:24" ht="15.75" customHeight="1">
      <c r="A909" s="30">
        <f>_xlfn.AGGREGATE(4,7,A$6:A908)+1</f>
        <v>678</v>
      </c>
      <c r="B909" s="66" t="str">
        <f t="shared" si="147"/>
        <v>H. Na Rì</v>
      </c>
      <c r="C909" s="33" t="str">
        <f t="shared" si="163"/>
        <v>X. Văn Vũ</v>
      </c>
      <c r="D909" s="32"/>
      <c r="E909" s="32" t="s">
        <v>58</v>
      </c>
      <c r="F909" s="33" t="s">
        <v>983</v>
      </c>
      <c r="G909" s="32"/>
      <c r="H909" s="32" t="str">
        <f>IF(LEFT('PL1(Full)'!$F909,4)="Thôn","Thôn","Tổ")</f>
        <v>Thôn</v>
      </c>
      <c r="I909" s="35">
        <v>39</v>
      </c>
      <c r="J909" s="35">
        <v>192</v>
      </c>
      <c r="K909" s="35">
        <v>36</v>
      </c>
      <c r="L909" s="37">
        <f t="shared" si="0"/>
        <v>92.307692307692307</v>
      </c>
      <c r="M909" s="35">
        <v>17</v>
      </c>
      <c r="N909" s="38">
        <f t="shared" si="1"/>
        <v>43.589743589743591</v>
      </c>
      <c r="O909" s="35">
        <v>14</v>
      </c>
      <c r="P909" s="38">
        <f t="shared" si="2"/>
        <v>82.352941176470594</v>
      </c>
      <c r="Q909" s="134" t="s">
        <v>63</v>
      </c>
      <c r="R909" s="134" t="str">
        <f t="shared" si="3"/>
        <v>X</v>
      </c>
      <c r="S909" s="135" t="s">
        <v>60</v>
      </c>
      <c r="T909" s="34" t="str">
        <f>IF('PL1(Full)'!$N909&gt;=20,"x",IF(AND('PL1(Full)'!$N909&gt;=15,'PL1(Full)'!$P909&gt;60),"x",""))</f>
        <v>x</v>
      </c>
      <c r="U909" s="34" t="str">
        <f>IF(AND('PL1(Full)'!$H909="Thôn",'PL1(Full)'!$I909&lt;75),"x",IF(AND('PL1(Full)'!$H909="Tổ",'PL1(Full)'!$I909&lt;100),"x","-"))</f>
        <v>x</v>
      </c>
      <c r="V909" s="34" t="str">
        <f>IF(AND('PL1(Full)'!$H909="Thôn",'PL1(Full)'!$I909&lt;140),"x",IF(AND('PL1(Full)'!$H909="Tổ",'PL1(Full)'!$I909&lt;210),"x","-"))</f>
        <v>x</v>
      </c>
      <c r="W909" s="40" t="str">
        <f t="shared" si="148"/>
        <v>Loại 3</v>
      </c>
      <c r="X909" s="32"/>
    </row>
    <row r="910" spans="1:24" ht="15.75" customHeight="1">
      <c r="A910" s="30">
        <f>_xlfn.AGGREGATE(4,7,A$6:A909)+1</f>
        <v>679</v>
      </c>
      <c r="B910" s="66" t="str">
        <f t="shared" si="147"/>
        <v>H. Na Rì</v>
      </c>
      <c r="C910" s="33" t="str">
        <f t="shared" si="163"/>
        <v>X. Văn Vũ</v>
      </c>
      <c r="D910" s="32"/>
      <c r="E910" s="32" t="s">
        <v>58</v>
      </c>
      <c r="F910" s="33" t="s">
        <v>984</v>
      </c>
      <c r="G910" s="32"/>
      <c r="H910" s="32" t="str">
        <f>IF(LEFT('PL1(Full)'!$F910,4)="Thôn","Thôn","Tổ")</f>
        <v>Thôn</v>
      </c>
      <c r="I910" s="35">
        <v>41</v>
      </c>
      <c r="J910" s="35">
        <v>178</v>
      </c>
      <c r="K910" s="35">
        <v>41</v>
      </c>
      <c r="L910" s="37">
        <f t="shared" si="0"/>
        <v>100</v>
      </c>
      <c r="M910" s="35">
        <v>21</v>
      </c>
      <c r="N910" s="38">
        <f t="shared" si="1"/>
        <v>51.219512195121951</v>
      </c>
      <c r="O910" s="35">
        <v>21</v>
      </c>
      <c r="P910" s="38">
        <f t="shared" si="2"/>
        <v>100</v>
      </c>
      <c r="Q910" s="134" t="s">
        <v>63</v>
      </c>
      <c r="R910" s="134" t="str">
        <f t="shared" si="3"/>
        <v>X</v>
      </c>
      <c r="S910" s="135" t="s">
        <v>60</v>
      </c>
      <c r="T910" s="34" t="str">
        <f>IF('PL1(Full)'!$N910&gt;=20,"x",IF(AND('PL1(Full)'!$N910&gt;=15,'PL1(Full)'!$P910&gt;60),"x",""))</f>
        <v>x</v>
      </c>
      <c r="U910" s="34" t="str">
        <f>IF(AND('PL1(Full)'!$H910="Thôn",'PL1(Full)'!$I910&lt;75),"x",IF(AND('PL1(Full)'!$H910="Tổ",'PL1(Full)'!$I910&lt;100),"x","-"))</f>
        <v>x</v>
      </c>
      <c r="V910" s="34" t="str">
        <f>IF(AND('PL1(Full)'!$H910="Thôn",'PL1(Full)'!$I910&lt;140),"x",IF(AND('PL1(Full)'!$H910="Tổ",'PL1(Full)'!$I910&lt;210),"x","-"))</f>
        <v>x</v>
      </c>
      <c r="W910" s="40" t="str">
        <f t="shared" si="148"/>
        <v>Loại 3</v>
      </c>
      <c r="X910" s="32"/>
    </row>
    <row r="911" spans="1:24" ht="15.75" customHeight="1">
      <c r="A911" s="30">
        <f>_xlfn.AGGREGATE(4,7,A$6:A910)+1</f>
        <v>680</v>
      </c>
      <c r="B911" s="66" t="str">
        <f t="shared" si="147"/>
        <v>H. Na Rì</v>
      </c>
      <c r="C911" s="33" t="str">
        <f t="shared" si="163"/>
        <v>X. Văn Vũ</v>
      </c>
      <c r="D911" s="32"/>
      <c r="E911" s="32" t="s">
        <v>58</v>
      </c>
      <c r="F911" s="33" t="s">
        <v>985</v>
      </c>
      <c r="G911" s="32"/>
      <c r="H911" s="32" t="str">
        <f>IF(LEFT('PL1(Full)'!$F911,4)="Thôn","Thôn","Tổ")</f>
        <v>Thôn</v>
      </c>
      <c r="I911" s="35">
        <v>21</v>
      </c>
      <c r="J911" s="35">
        <v>86</v>
      </c>
      <c r="K911" s="35">
        <v>21</v>
      </c>
      <c r="L911" s="37">
        <f t="shared" si="0"/>
        <v>100</v>
      </c>
      <c r="M911" s="35">
        <v>10</v>
      </c>
      <c r="N911" s="38">
        <f t="shared" si="1"/>
        <v>47.61904761904762</v>
      </c>
      <c r="O911" s="35">
        <v>10</v>
      </c>
      <c r="P911" s="38">
        <f t="shared" si="2"/>
        <v>100</v>
      </c>
      <c r="Q911" s="134" t="s">
        <v>330</v>
      </c>
      <c r="R911" s="134" t="str">
        <f t="shared" si="3"/>
        <v>X</v>
      </c>
      <c r="S911" s="135" t="s">
        <v>60</v>
      </c>
      <c r="T911" s="34" t="str">
        <f>IF('PL1(Full)'!$N911&gt;=20,"x",IF(AND('PL1(Full)'!$N911&gt;=15,'PL1(Full)'!$P911&gt;60),"x",""))</f>
        <v>x</v>
      </c>
      <c r="U911" s="34" t="str">
        <f>IF(AND('PL1(Full)'!$H911="Thôn",'PL1(Full)'!$I911&lt;75),"x",IF(AND('PL1(Full)'!$H911="Tổ",'PL1(Full)'!$I911&lt;100),"x","-"))</f>
        <v>x</v>
      </c>
      <c r="V911" s="34" t="str">
        <f>IF(AND('PL1(Full)'!$H911="Thôn",'PL1(Full)'!$I911&lt;140),"x",IF(AND('PL1(Full)'!$H911="Tổ",'PL1(Full)'!$I911&lt;210),"x","-"))</f>
        <v>x</v>
      </c>
      <c r="W911" s="40" t="str">
        <f t="shared" si="148"/>
        <v>Loại 3</v>
      </c>
      <c r="X911" s="32"/>
    </row>
    <row r="912" spans="1:24" ht="15.75" customHeight="1">
      <c r="A912" s="30">
        <f>_xlfn.AGGREGATE(4,7,A$6:A911)+1</f>
        <v>681</v>
      </c>
      <c r="B912" s="66" t="str">
        <f t="shared" si="147"/>
        <v>H. Na Rì</v>
      </c>
      <c r="C912" s="33" t="str">
        <f t="shared" si="163"/>
        <v>X. Văn Vũ</v>
      </c>
      <c r="D912" s="32"/>
      <c r="E912" s="32" t="s">
        <v>58</v>
      </c>
      <c r="F912" s="33" t="s">
        <v>986</v>
      </c>
      <c r="G912" s="32"/>
      <c r="H912" s="32" t="str">
        <f>IF(LEFT('PL1(Full)'!$F912,4)="Thôn","Thôn","Tổ")</f>
        <v>Thôn</v>
      </c>
      <c r="I912" s="35">
        <v>20</v>
      </c>
      <c r="J912" s="35">
        <v>83</v>
      </c>
      <c r="K912" s="35">
        <v>20</v>
      </c>
      <c r="L912" s="37">
        <f t="shared" si="0"/>
        <v>100</v>
      </c>
      <c r="M912" s="35">
        <v>13</v>
      </c>
      <c r="N912" s="38">
        <f t="shared" si="1"/>
        <v>65</v>
      </c>
      <c r="O912" s="35">
        <v>13</v>
      </c>
      <c r="P912" s="38">
        <f t="shared" si="2"/>
        <v>100</v>
      </c>
      <c r="Q912" s="134" t="s">
        <v>154</v>
      </c>
      <c r="R912" s="134" t="str">
        <f t="shared" si="3"/>
        <v>X</v>
      </c>
      <c r="S912" s="135" t="s">
        <v>60</v>
      </c>
      <c r="T912" s="34" t="str">
        <f>IF('PL1(Full)'!$N912&gt;=20,"x",IF(AND('PL1(Full)'!$N912&gt;=15,'PL1(Full)'!$P912&gt;60),"x",""))</f>
        <v>x</v>
      </c>
      <c r="U912" s="34" t="str">
        <f>IF(AND('PL1(Full)'!$H912="Thôn",'PL1(Full)'!$I912&lt;75),"x",IF(AND('PL1(Full)'!$H912="Tổ",'PL1(Full)'!$I912&lt;100),"x","-"))</f>
        <v>x</v>
      </c>
      <c r="V912" s="34" t="str">
        <f>IF(AND('PL1(Full)'!$H912="Thôn",'PL1(Full)'!$I912&lt;140),"x",IF(AND('PL1(Full)'!$H912="Tổ",'PL1(Full)'!$I912&lt;210),"x","-"))</f>
        <v>x</v>
      </c>
      <c r="W912" s="40" t="str">
        <f t="shared" si="148"/>
        <v>Loại 3</v>
      </c>
      <c r="X912" s="32"/>
    </row>
    <row r="913" spans="1:24" ht="15.75" customHeight="1">
      <c r="A913" s="30">
        <f>_xlfn.AGGREGATE(4,7,A$6:A912)+1</f>
        <v>682</v>
      </c>
      <c r="B913" s="66" t="str">
        <f t="shared" si="147"/>
        <v>H. Na Rì</v>
      </c>
      <c r="C913" s="33" t="str">
        <f t="shared" si="163"/>
        <v>X. Văn Vũ</v>
      </c>
      <c r="D913" s="32"/>
      <c r="E913" s="32" t="s">
        <v>58</v>
      </c>
      <c r="F913" s="33" t="s">
        <v>987</v>
      </c>
      <c r="G913" s="32"/>
      <c r="H913" s="32" t="str">
        <f>IF(LEFT('PL1(Full)'!$F913,4)="Thôn","Thôn","Tổ")</f>
        <v>Thôn</v>
      </c>
      <c r="I913" s="35">
        <v>45</v>
      </c>
      <c r="J913" s="35">
        <v>209</v>
      </c>
      <c r="K913" s="35">
        <v>45</v>
      </c>
      <c r="L913" s="37">
        <f t="shared" si="0"/>
        <v>100</v>
      </c>
      <c r="M913" s="35">
        <v>33</v>
      </c>
      <c r="N913" s="38">
        <f t="shared" si="1"/>
        <v>73.333333333333329</v>
      </c>
      <c r="O913" s="35">
        <v>33</v>
      </c>
      <c r="P913" s="38">
        <f t="shared" si="2"/>
        <v>100</v>
      </c>
      <c r="Q913" s="134" t="s">
        <v>56</v>
      </c>
      <c r="R913" s="134" t="str">
        <f t="shared" si="3"/>
        <v>X</v>
      </c>
      <c r="S913" s="135" t="s">
        <v>60</v>
      </c>
      <c r="T913" s="34" t="str">
        <f>IF('PL1(Full)'!$N913&gt;=20,"x",IF(AND('PL1(Full)'!$N913&gt;=15,'PL1(Full)'!$P913&gt;60),"x",""))</f>
        <v>x</v>
      </c>
      <c r="U913" s="34" t="str">
        <f>IF(AND('PL1(Full)'!$H913="Thôn",'PL1(Full)'!$I913&lt;75),"x",IF(AND('PL1(Full)'!$H913="Tổ",'PL1(Full)'!$I913&lt;100),"x","-"))</f>
        <v>x</v>
      </c>
      <c r="V913" s="34" t="str">
        <f>IF(AND('PL1(Full)'!$H913="Thôn",'PL1(Full)'!$I913&lt;140),"x",IF(AND('PL1(Full)'!$H913="Tổ",'PL1(Full)'!$I913&lt;210),"x","-"))</f>
        <v>x</v>
      </c>
      <c r="W913" s="40" t="str">
        <f t="shared" si="148"/>
        <v>Loại 3</v>
      </c>
      <c r="X913" s="32"/>
    </row>
    <row r="914" spans="1:24" ht="15.75" customHeight="1">
      <c r="A914" s="30">
        <f>_xlfn.AGGREGATE(4,7,A$6:A913)+1</f>
        <v>683</v>
      </c>
      <c r="B914" s="66" t="str">
        <f t="shared" si="147"/>
        <v>H. Na Rì</v>
      </c>
      <c r="C914" s="33" t="str">
        <f t="shared" si="163"/>
        <v>X. Văn Vũ</v>
      </c>
      <c r="D914" s="32"/>
      <c r="E914" s="32" t="s">
        <v>58</v>
      </c>
      <c r="F914" s="33" t="s">
        <v>988</v>
      </c>
      <c r="G914" s="32"/>
      <c r="H914" s="32" t="str">
        <f>IF(LEFT('PL1(Full)'!$F914,4)="Thôn","Thôn","Tổ")</f>
        <v>Thôn</v>
      </c>
      <c r="I914" s="35">
        <v>29</v>
      </c>
      <c r="J914" s="35">
        <v>140</v>
      </c>
      <c r="K914" s="35">
        <v>30</v>
      </c>
      <c r="L914" s="37">
        <f t="shared" si="0"/>
        <v>103.44827586206897</v>
      </c>
      <c r="M914" s="35">
        <v>22</v>
      </c>
      <c r="N914" s="38">
        <f t="shared" si="1"/>
        <v>75.862068965517238</v>
      </c>
      <c r="O914" s="35">
        <v>22</v>
      </c>
      <c r="P914" s="38">
        <f t="shared" si="2"/>
        <v>100</v>
      </c>
      <c r="Q914" s="134" t="s">
        <v>154</v>
      </c>
      <c r="R914" s="134" t="str">
        <f t="shared" si="3"/>
        <v>X</v>
      </c>
      <c r="S914" s="135" t="s">
        <v>60</v>
      </c>
      <c r="T914" s="34" t="str">
        <f>IF('PL1(Full)'!$N914&gt;=20,"x",IF(AND('PL1(Full)'!$N914&gt;=15,'PL1(Full)'!$P914&gt;60),"x",""))</f>
        <v>x</v>
      </c>
      <c r="U914" s="34" t="str">
        <f>IF(AND('PL1(Full)'!$H914="Thôn",'PL1(Full)'!$I914&lt;75),"x",IF(AND('PL1(Full)'!$H914="Tổ",'PL1(Full)'!$I914&lt;100),"x","-"))</f>
        <v>x</v>
      </c>
      <c r="V914" s="34" t="str">
        <f>IF(AND('PL1(Full)'!$H914="Thôn",'PL1(Full)'!$I914&lt;140),"x",IF(AND('PL1(Full)'!$H914="Tổ",'PL1(Full)'!$I914&lt;210),"x","-"))</f>
        <v>x</v>
      </c>
      <c r="W914" s="40" t="str">
        <f t="shared" si="148"/>
        <v>Loại 3</v>
      </c>
      <c r="X914" s="32"/>
    </row>
    <row r="915" spans="1:24" ht="15.75" customHeight="1">
      <c r="A915" s="30">
        <f>_xlfn.AGGREGATE(4,7,A$6:A914)+1</f>
        <v>684</v>
      </c>
      <c r="B915" s="66" t="str">
        <f t="shared" si="147"/>
        <v>H. Na Rì</v>
      </c>
      <c r="C915" s="33" t="str">
        <f t="shared" si="163"/>
        <v>X. Văn Vũ</v>
      </c>
      <c r="D915" s="32"/>
      <c r="E915" s="32" t="s">
        <v>58</v>
      </c>
      <c r="F915" s="33" t="s">
        <v>989</v>
      </c>
      <c r="G915" s="32"/>
      <c r="H915" s="32" t="str">
        <f>IF(LEFT('PL1(Full)'!$F915,4)="Thôn","Thôn","Tổ")</f>
        <v>Thôn</v>
      </c>
      <c r="I915" s="35">
        <v>13</v>
      </c>
      <c r="J915" s="35">
        <v>57</v>
      </c>
      <c r="K915" s="35">
        <v>13</v>
      </c>
      <c r="L915" s="37">
        <f t="shared" si="0"/>
        <v>100</v>
      </c>
      <c r="M915" s="35">
        <v>13</v>
      </c>
      <c r="N915" s="38">
        <f t="shared" si="1"/>
        <v>100</v>
      </c>
      <c r="O915" s="35">
        <v>13</v>
      </c>
      <c r="P915" s="38">
        <f t="shared" si="2"/>
        <v>100</v>
      </c>
      <c r="Q915" s="134" t="s">
        <v>52</v>
      </c>
      <c r="R915" s="134" t="str">
        <f t="shared" si="3"/>
        <v>C</v>
      </c>
      <c r="S915" s="135" t="s">
        <v>60</v>
      </c>
      <c r="T915" s="34" t="str">
        <f>IF('PL1(Full)'!$N915&gt;=20,"x",IF(AND('PL1(Full)'!$N915&gt;=15,'PL1(Full)'!$P915&gt;60),"x",""))</f>
        <v>x</v>
      </c>
      <c r="U915" s="34" t="str">
        <f>IF(AND('PL1(Full)'!$H915="Thôn",'PL1(Full)'!$I915&lt;75),"x",IF(AND('PL1(Full)'!$H915="Tổ",'PL1(Full)'!$I915&lt;100),"x","-"))</f>
        <v>x</v>
      </c>
      <c r="V915" s="34" t="str">
        <f>IF(AND('PL1(Full)'!$H915="Thôn",'PL1(Full)'!$I915&lt;140),"x",IF(AND('PL1(Full)'!$H915="Tổ",'PL1(Full)'!$I915&lt;210),"x","-"))</f>
        <v>x</v>
      </c>
      <c r="W915" s="40" t="str">
        <f t="shared" si="148"/>
        <v>Loại 3</v>
      </c>
      <c r="X915" s="32"/>
    </row>
    <row r="916" spans="1:24" ht="15.75" customHeight="1">
      <c r="A916" s="30">
        <f>_xlfn.AGGREGATE(4,7,A$6:A915)+1</f>
        <v>685</v>
      </c>
      <c r="B916" s="66" t="str">
        <f t="shared" si="147"/>
        <v>H. Na Rì</v>
      </c>
      <c r="C916" s="33" t="str">
        <f t="shared" si="163"/>
        <v>X. Văn Vũ</v>
      </c>
      <c r="D916" s="32"/>
      <c r="E916" s="32" t="s">
        <v>58</v>
      </c>
      <c r="F916" s="33" t="s">
        <v>990</v>
      </c>
      <c r="G916" s="32"/>
      <c r="H916" s="32" t="str">
        <f>IF(LEFT('PL1(Full)'!$F916,4)="Thôn","Thôn","Tổ")</f>
        <v>Thôn</v>
      </c>
      <c r="I916" s="35">
        <v>26</v>
      </c>
      <c r="J916" s="35">
        <v>114</v>
      </c>
      <c r="K916" s="35">
        <v>26</v>
      </c>
      <c r="L916" s="37">
        <f t="shared" si="0"/>
        <v>100</v>
      </c>
      <c r="M916" s="35">
        <v>1</v>
      </c>
      <c r="N916" s="38">
        <f t="shared" si="1"/>
        <v>3.8461538461538463</v>
      </c>
      <c r="O916" s="35">
        <v>1</v>
      </c>
      <c r="P916" s="38">
        <f t="shared" si="2"/>
        <v>100</v>
      </c>
      <c r="Q916" s="134" t="s">
        <v>154</v>
      </c>
      <c r="R916" s="134" t="str">
        <f t="shared" si="3"/>
        <v>X</v>
      </c>
      <c r="S916" s="135"/>
      <c r="T916" s="34" t="str">
        <f>IF('PL1(Full)'!$N916&gt;=20,"x",IF(AND('PL1(Full)'!$N916&gt;=15,'PL1(Full)'!$P916&gt;60),"x",""))</f>
        <v/>
      </c>
      <c r="U916" s="34" t="str">
        <f>IF(AND('PL1(Full)'!$H916="Thôn",'PL1(Full)'!$I916&lt;75),"x",IF(AND('PL1(Full)'!$H916="Tổ",'PL1(Full)'!$I916&lt;100),"x","-"))</f>
        <v>x</v>
      </c>
      <c r="V916" s="34" t="str">
        <f>IF(AND('PL1(Full)'!$H916="Thôn",'PL1(Full)'!$I916&lt;140),"x",IF(AND('PL1(Full)'!$H916="Tổ",'PL1(Full)'!$I916&lt;210),"x","-"))</f>
        <v>x</v>
      </c>
      <c r="W916" s="40" t="str">
        <f t="shared" si="148"/>
        <v>Loại 3</v>
      </c>
      <c r="X916" s="32"/>
    </row>
    <row r="917" spans="1:24" ht="15.75" customHeight="1">
      <c r="A917" s="41">
        <f>_xlfn.AGGREGATE(4,7,A$6:A916)+1</f>
        <v>686</v>
      </c>
      <c r="B917" s="67" t="str">
        <f t="shared" si="147"/>
        <v>H. Na Rì</v>
      </c>
      <c r="C917" s="44" t="str">
        <f t="shared" si="163"/>
        <v>X. Văn Vũ</v>
      </c>
      <c r="D917" s="43"/>
      <c r="E917" s="43" t="s">
        <v>58</v>
      </c>
      <c r="F917" s="44" t="s">
        <v>991</v>
      </c>
      <c r="G917" s="43"/>
      <c r="H917" s="43" t="str">
        <f>IF(LEFT('PL1(Full)'!$F917,4)="Thôn","Thôn","Tổ")</f>
        <v>Thôn</v>
      </c>
      <c r="I917" s="45">
        <v>26</v>
      </c>
      <c r="J917" s="45">
        <v>108</v>
      </c>
      <c r="K917" s="45">
        <v>26</v>
      </c>
      <c r="L917" s="47">
        <f t="shared" si="0"/>
        <v>100</v>
      </c>
      <c r="M917" s="45">
        <v>24</v>
      </c>
      <c r="N917" s="48">
        <f t="shared" si="1"/>
        <v>92.307692307692307</v>
      </c>
      <c r="O917" s="45">
        <v>24</v>
      </c>
      <c r="P917" s="48">
        <f t="shared" si="2"/>
        <v>100</v>
      </c>
      <c r="Q917" s="136" t="s">
        <v>52</v>
      </c>
      <c r="R917" s="136" t="str">
        <f t="shared" si="3"/>
        <v>C</v>
      </c>
      <c r="S917" s="137" t="s">
        <v>60</v>
      </c>
      <c r="T917" s="50" t="str">
        <f>IF('PL1(Full)'!$N917&gt;=20,"x",IF(AND('PL1(Full)'!$N917&gt;=15,'PL1(Full)'!$P917&gt;60),"x",""))</f>
        <v>x</v>
      </c>
      <c r="U917" s="50" t="str">
        <f>IF(AND('PL1(Full)'!$H917="Thôn",'PL1(Full)'!$I917&lt;75),"x",IF(AND('PL1(Full)'!$H917="Tổ",'PL1(Full)'!$I917&lt;100),"x","-"))</f>
        <v>x</v>
      </c>
      <c r="V917" s="34" t="str">
        <f>IF(AND('PL1(Full)'!$H917="Thôn",'PL1(Full)'!$I917&lt;140),"x",IF(AND('PL1(Full)'!$H917="Tổ",'PL1(Full)'!$I917&lt;210),"x","-"))</f>
        <v>x</v>
      </c>
      <c r="W917" s="51" t="str">
        <f t="shared" si="148"/>
        <v>Loại 3</v>
      </c>
      <c r="X917" s="43"/>
    </row>
    <row r="918" spans="1:24" ht="15.75" customHeight="1">
      <c r="A918" s="52">
        <f>_xlfn.AGGREGATE(4,7,A$6:A917)+1</f>
        <v>687</v>
      </c>
      <c r="B918" s="65" t="str">
        <f t="shared" si="147"/>
        <v>H. Na Rì</v>
      </c>
      <c r="C918" s="14" t="s">
        <v>992</v>
      </c>
      <c r="D918" s="15" t="s">
        <v>58</v>
      </c>
      <c r="E918" s="16" t="s">
        <v>58</v>
      </c>
      <c r="F918" s="17" t="s">
        <v>993</v>
      </c>
      <c r="G918" s="18" t="s">
        <v>40</v>
      </c>
      <c r="H918" s="18" t="str">
        <f>IF(LEFT('PL1(Full)'!$F918,4)="Thôn","Thôn","Tổ")</f>
        <v>Thôn</v>
      </c>
      <c r="I918" s="19">
        <v>68</v>
      </c>
      <c r="J918" s="19">
        <v>334</v>
      </c>
      <c r="K918" s="19">
        <v>68</v>
      </c>
      <c r="L918" s="21">
        <f t="shared" si="0"/>
        <v>100</v>
      </c>
      <c r="M918" s="19">
        <v>20</v>
      </c>
      <c r="N918" s="22">
        <f t="shared" si="1"/>
        <v>29.411764705882351</v>
      </c>
      <c r="O918" s="19">
        <v>20</v>
      </c>
      <c r="P918" s="22">
        <f t="shared" si="2"/>
        <v>100</v>
      </c>
      <c r="Q918" s="132" t="s">
        <v>56</v>
      </c>
      <c r="R918" s="132" t="str">
        <f t="shared" si="3"/>
        <v>X</v>
      </c>
      <c r="S918" s="133" t="s">
        <v>60</v>
      </c>
      <c r="T918" s="26" t="str">
        <f>IF('PL1(Full)'!$N918&gt;=20,"x",IF(AND('PL1(Full)'!$N918&gt;=15,'PL1(Full)'!$P918&gt;60),"x",""))</f>
        <v>x</v>
      </c>
      <c r="U918" s="27" t="str">
        <f>IF(AND('PL1(Full)'!$H918="Thôn",'PL1(Full)'!$I918&lt;75),"x",IF(AND('PL1(Full)'!$H918="Tổ",'PL1(Full)'!$I918&lt;100),"x","-"))</f>
        <v>x</v>
      </c>
      <c r="V918" s="28" t="str">
        <f>IF(AND('PL1(Full)'!$H918="Thôn",'PL1(Full)'!$I918&lt;140),"x",IF(AND('PL1(Full)'!$H918="Tổ",'PL1(Full)'!$I918&lt;210),"x","-"))</f>
        <v>x</v>
      </c>
      <c r="W918" s="29" t="str">
        <f t="shared" si="148"/>
        <v>Loại 3</v>
      </c>
      <c r="X918" s="18"/>
    </row>
    <row r="919" spans="1:24" ht="15.75" hidden="1" customHeight="1">
      <c r="A919" s="30">
        <f>_xlfn.AGGREGATE(4,7,A$6:A918)+1</f>
        <v>688</v>
      </c>
      <c r="B919" s="66" t="str">
        <f t="shared" si="147"/>
        <v>H. Na Rì</v>
      </c>
      <c r="C919" s="33" t="str">
        <f t="shared" ref="C919:C926" si="164">C918</f>
        <v>X. Xuân Dương</v>
      </c>
      <c r="D919" s="32"/>
      <c r="E919" s="32" t="s">
        <v>58</v>
      </c>
      <c r="F919" s="33" t="s">
        <v>994</v>
      </c>
      <c r="G919" s="34" t="s">
        <v>40</v>
      </c>
      <c r="H919" s="32" t="str">
        <f>IF(LEFT('PL1(Full)'!$F919,4)="Thôn","Thôn","Tổ")</f>
        <v>Thôn</v>
      </c>
      <c r="I919" s="35">
        <v>76</v>
      </c>
      <c r="J919" s="35">
        <v>371</v>
      </c>
      <c r="K919" s="35">
        <v>76</v>
      </c>
      <c r="L919" s="37">
        <f t="shared" si="0"/>
        <v>100</v>
      </c>
      <c r="M919" s="35">
        <v>25</v>
      </c>
      <c r="N919" s="38">
        <f t="shared" si="1"/>
        <v>32.89473684210526</v>
      </c>
      <c r="O919" s="35">
        <v>25</v>
      </c>
      <c r="P919" s="38">
        <f t="shared" si="2"/>
        <v>100</v>
      </c>
      <c r="Q919" s="134" t="s">
        <v>56</v>
      </c>
      <c r="R919" s="134" t="str">
        <f t="shared" si="3"/>
        <v>X</v>
      </c>
      <c r="S919" s="135" t="s">
        <v>60</v>
      </c>
      <c r="T919" s="34" t="str">
        <f>IF('PL1(Full)'!$N919&gt;=20,"x",IF(AND('PL1(Full)'!$N919&gt;=15,'PL1(Full)'!$P919&gt;60),"x",""))</f>
        <v>x</v>
      </c>
      <c r="U919" s="34" t="str">
        <f>IF(AND('PL1(Full)'!$H919="Thôn",'PL1(Full)'!$I919&lt;75),"x",IF(AND('PL1(Full)'!$H919="Tổ",'PL1(Full)'!$I919&lt;100),"x","-"))</f>
        <v>-</v>
      </c>
      <c r="V919" s="34" t="str">
        <f>IF(AND('PL1(Full)'!$H919="Thôn",'PL1(Full)'!$I919&lt;140),"x",IF(AND('PL1(Full)'!$H919="Tổ",'PL1(Full)'!$I919&lt;210),"x","-"))</f>
        <v>x</v>
      </c>
      <c r="W919" s="40" t="str">
        <f t="shared" si="148"/>
        <v>Loại 3</v>
      </c>
      <c r="X919" s="32"/>
    </row>
    <row r="920" spans="1:24" ht="15.75" customHeight="1">
      <c r="A920" s="30">
        <f>_xlfn.AGGREGATE(4,7,A$6:A919)+1</f>
        <v>688</v>
      </c>
      <c r="B920" s="66" t="str">
        <f t="shared" si="147"/>
        <v>H. Na Rì</v>
      </c>
      <c r="C920" s="33" t="str">
        <f t="shared" si="164"/>
        <v>X. Xuân Dương</v>
      </c>
      <c r="D920" s="32"/>
      <c r="E920" s="32" t="s">
        <v>58</v>
      </c>
      <c r="F920" s="33" t="s">
        <v>931</v>
      </c>
      <c r="G920" s="32"/>
      <c r="H920" s="32" t="str">
        <f>IF(LEFT('PL1(Full)'!$F920,4)="Thôn","Thôn","Tổ")</f>
        <v>Thôn</v>
      </c>
      <c r="I920" s="35">
        <v>63</v>
      </c>
      <c r="J920" s="35">
        <v>264</v>
      </c>
      <c r="K920" s="35">
        <v>63</v>
      </c>
      <c r="L920" s="37">
        <f t="shared" si="0"/>
        <v>100</v>
      </c>
      <c r="M920" s="35">
        <v>6</v>
      </c>
      <c r="N920" s="38">
        <f t="shared" si="1"/>
        <v>9.5238095238095237</v>
      </c>
      <c r="O920" s="35">
        <v>6</v>
      </c>
      <c r="P920" s="38">
        <f t="shared" si="2"/>
        <v>100</v>
      </c>
      <c r="Q920" s="134" t="s">
        <v>56</v>
      </c>
      <c r="R920" s="134" t="str">
        <f t="shared" si="3"/>
        <v>X</v>
      </c>
      <c r="S920" s="135"/>
      <c r="T920" s="34" t="str">
        <f>IF('PL1(Full)'!$N920&gt;=20,"x",IF(AND('PL1(Full)'!$N920&gt;=15,'PL1(Full)'!$P920&gt;60),"x",""))</f>
        <v/>
      </c>
      <c r="U920" s="34" t="str">
        <f>IF(AND('PL1(Full)'!$H920="Thôn",'PL1(Full)'!$I920&lt;75),"x",IF(AND('PL1(Full)'!$H920="Tổ",'PL1(Full)'!$I920&lt;100),"x","-"))</f>
        <v>x</v>
      </c>
      <c r="V920" s="34" t="str">
        <f>IF(AND('PL1(Full)'!$H920="Thôn",'PL1(Full)'!$I920&lt;140),"x",IF(AND('PL1(Full)'!$H920="Tổ",'PL1(Full)'!$I920&lt;210),"x","-"))</f>
        <v>x</v>
      </c>
      <c r="W920" s="40" t="str">
        <f t="shared" si="148"/>
        <v>Loại 3</v>
      </c>
      <c r="X920" s="32"/>
    </row>
    <row r="921" spans="1:24" ht="15.75" customHeight="1">
      <c r="A921" s="30">
        <f>_xlfn.AGGREGATE(4,7,A$6:A920)+1</f>
        <v>689</v>
      </c>
      <c r="B921" s="66" t="str">
        <f t="shared" si="147"/>
        <v>H. Na Rì</v>
      </c>
      <c r="C921" s="33" t="str">
        <f t="shared" si="164"/>
        <v>X. Xuân Dương</v>
      </c>
      <c r="D921" s="32"/>
      <c r="E921" s="32" t="s">
        <v>58</v>
      </c>
      <c r="F921" s="33" t="s">
        <v>995</v>
      </c>
      <c r="G921" s="32"/>
      <c r="H921" s="32" t="str">
        <f>IF(LEFT('PL1(Full)'!$F921,4)="Thôn","Thôn","Tổ")</f>
        <v>Thôn</v>
      </c>
      <c r="I921" s="35">
        <v>37</v>
      </c>
      <c r="J921" s="35">
        <v>163</v>
      </c>
      <c r="K921" s="35">
        <v>37</v>
      </c>
      <c r="L921" s="37">
        <f t="shared" si="0"/>
        <v>100</v>
      </c>
      <c r="M921" s="35">
        <v>17</v>
      </c>
      <c r="N921" s="38">
        <f t="shared" si="1"/>
        <v>45.945945945945944</v>
      </c>
      <c r="O921" s="35">
        <v>17</v>
      </c>
      <c r="P921" s="38">
        <f t="shared" si="2"/>
        <v>100</v>
      </c>
      <c r="Q921" s="134" t="s">
        <v>996</v>
      </c>
      <c r="R921" s="134" t="str">
        <f t="shared" si="3"/>
        <v>T</v>
      </c>
      <c r="S921" s="135" t="s">
        <v>60</v>
      </c>
      <c r="T921" s="34" t="str">
        <f>IF('PL1(Full)'!$N921&gt;=20,"x",IF(AND('PL1(Full)'!$N921&gt;=15,'PL1(Full)'!$P921&gt;60),"x",""))</f>
        <v>x</v>
      </c>
      <c r="U921" s="34" t="str">
        <f>IF(AND('PL1(Full)'!$H921="Thôn",'PL1(Full)'!$I921&lt;75),"x",IF(AND('PL1(Full)'!$H921="Tổ",'PL1(Full)'!$I921&lt;100),"x","-"))</f>
        <v>x</v>
      </c>
      <c r="V921" s="34" t="str">
        <f>IF(AND('PL1(Full)'!$H921="Thôn",'PL1(Full)'!$I921&lt;140),"x",IF(AND('PL1(Full)'!$H921="Tổ",'PL1(Full)'!$I921&lt;210),"x","-"))</f>
        <v>x</v>
      </c>
      <c r="W921" s="40" t="str">
        <f t="shared" si="148"/>
        <v>Loại 3</v>
      </c>
      <c r="X921" s="32"/>
    </row>
    <row r="922" spans="1:24" ht="15.75" hidden="1" customHeight="1">
      <c r="A922" s="30">
        <f>_xlfn.AGGREGATE(4,7,A$6:A921)+1</f>
        <v>690</v>
      </c>
      <c r="B922" s="66" t="str">
        <f t="shared" si="147"/>
        <v>H. Na Rì</v>
      </c>
      <c r="C922" s="33" t="str">
        <f t="shared" si="164"/>
        <v>X. Xuân Dương</v>
      </c>
      <c r="D922" s="32"/>
      <c r="E922" s="32" t="s">
        <v>58</v>
      </c>
      <c r="F922" s="33" t="s">
        <v>506</v>
      </c>
      <c r="G922" s="34" t="s">
        <v>40</v>
      </c>
      <c r="H922" s="32" t="str">
        <f>IF(LEFT('PL1(Full)'!$F922,4)="Thôn","Thôn","Tổ")</f>
        <v>Thôn</v>
      </c>
      <c r="I922" s="35">
        <v>75</v>
      </c>
      <c r="J922" s="35">
        <v>340</v>
      </c>
      <c r="K922" s="35">
        <v>75</v>
      </c>
      <c r="L922" s="37">
        <f t="shared" si="0"/>
        <v>100</v>
      </c>
      <c r="M922" s="35">
        <v>53</v>
      </c>
      <c r="N922" s="38">
        <f t="shared" si="1"/>
        <v>70.666666666666671</v>
      </c>
      <c r="O922" s="35">
        <v>53</v>
      </c>
      <c r="P922" s="38">
        <f t="shared" si="2"/>
        <v>100</v>
      </c>
      <c r="Q922" s="134" t="s">
        <v>56</v>
      </c>
      <c r="R922" s="134" t="str">
        <f t="shared" si="3"/>
        <v>X</v>
      </c>
      <c r="S922" s="135" t="s">
        <v>60</v>
      </c>
      <c r="T922" s="34" t="str">
        <f>IF('PL1(Full)'!$N922&gt;=20,"x",IF(AND('PL1(Full)'!$N922&gt;=15,'PL1(Full)'!$P922&gt;60),"x",""))</f>
        <v>x</v>
      </c>
      <c r="U922" s="34" t="str">
        <f>IF(AND('PL1(Full)'!$H922="Thôn",'PL1(Full)'!$I922&lt;75),"x",IF(AND('PL1(Full)'!$H922="Tổ",'PL1(Full)'!$I922&lt;100),"x","-"))</f>
        <v>-</v>
      </c>
      <c r="V922" s="34" t="str">
        <f>IF(AND('PL1(Full)'!$H922="Thôn",'PL1(Full)'!$I922&lt;140),"x",IF(AND('PL1(Full)'!$H922="Tổ",'PL1(Full)'!$I922&lt;210),"x","-"))</f>
        <v>x</v>
      </c>
      <c r="W922" s="40" t="str">
        <f t="shared" si="148"/>
        <v>Loại 3</v>
      </c>
      <c r="X922" s="32"/>
    </row>
    <row r="923" spans="1:24" ht="15.75" customHeight="1">
      <c r="A923" s="30">
        <f>_xlfn.AGGREGATE(4,7,A$6:A922)+1</f>
        <v>690</v>
      </c>
      <c r="B923" s="66" t="str">
        <f t="shared" si="147"/>
        <v>H. Na Rì</v>
      </c>
      <c r="C923" s="33" t="str">
        <f t="shared" si="164"/>
        <v>X. Xuân Dương</v>
      </c>
      <c r="D923" s="32"/>
      <c r="E923" s="32" t="s">
        <v>58</v>
      </c>
      <c r="F923" s="33" t="s">
        <v>997</v>
      </c>
      <c r="G923" s="32"/>
      <c r="H923" s="32" t="str">
        <f>IF(LEFT('PL1(Full)'!$F923,4)="Thôn","Thôn","Tổ")</f>
        <v>Thôn</v>
      </c>
      <c r="I923" s="35">
        <v>65</v>
      </c>
      <c r="J923" s="35">
        <v>331</v>
      </c>
      <c r="K923" s="35">
        <v>65</v>
      </c>
      <c r="L923" s="37">
        <f t="shared" si="0"/>
        <v>100</v>
      </c>
      <c r="M923" s="35">
        <v>42</v>
      </c>
      <c r="N923" s="38">
        <f t="shared" si="1"/>
        <v>64.615384615384613</v>
      </c>
      <c r="O923" s="35">
        <v>42</v>
      </c>
      <c r="P923" s="38">
        <f t="shared" si="2"/>
        <v>100</v>
      </c>
      <c r="Q923" s="134" t="s">
        <v>56</v>
      </c>
      <c r="R923" s="134" t="str">
        <f t="shared" si="3"/>
        <v>X</v>
      </c>
      <c r="S923" s="135" t="s">
        <v>60</v>
      </c>
      <c r="T923" s="34" t="str">
        <f>IF('PL1(Full)'!$N923&gt;=20,"x",IF(AND('PL1(Full)'!$N923&gt;=15,'PL1(Full)'!$P923&gt;60),"x",""))</f>
        <v>x</v>
      </c>
      <c r="U923" s="34" t="str">
        <f>IF(AND('PL1(Full)'!$H923="Thôn",'PL1(Full)'!$I923&lt;75),"x",IF(AND('PL1(Full)'!$H923="Tổ",'PL1(Full)'!$I923&lt;100),"x","-"))</f>
        <v>x</v>
      </c>
      <c r="V923" s="34" t="str">
        <f>IF(AND('PL1(Full)'!$H923="Thôn",'PL1(Full)'!$I923&lt;140),"x",IF(AND('PL1(Full)'!$H923="Tổ",'PL1(Full)'!$I923&lt;210),"x","-"))</f>
        <v>x</v>
      </c>
      <c r="W923" s="40" t="str">
        <f t="shared" si="148"/>
        <v>Loại 3</v>
      </c>
      <c r="X923" s="32"/>
    </row>
    <row r="924" spans="1:24" ht="15.75" customHeight="1">
      <c r="A924" s="30">
        <f>_xlfn.AGGREGATE(4,7,A$6:A923)+1</f>
        <v>691</v>
      </c>
      <c r="B924" s="66" t="str">
        <f t="shared" si="147"/>
        <v>H. Na Rì</v>
      </c>
      <c r="C924" s="33" t="str">
        <f t="shared" si="164"/>
        <v>X. Xuân Dương</v>
      </c>
      <c r="D924" s="32"/>
      <c r="E924" s="32" t="s">
        <v>58</v>
      </c>
      <c r="F924" s="33" t="s">
        <v>998</v>
      </c>
      <c r="G924" s="32"/>
      <c r="H924" s="32" t="str">
        <f>IF(LEFT('PL1(Full)'!$F924,4)="Thôn","Thôn","Tổ")</f>
        <v>Thôn</v>
      </c>
      <c r="I924" s="35">
        <v>37</v>
      </c>
      <c r="J924" s="35">
        <v>183</v>
      </c>
      <c r="K924" s="35">
        <v>37</v>
      </c>
      <c r="L924" s="37">
        <f t="shared" si="0"/>
        <v>100</v>
      </c>
      <c r="M924" s="35">
        <v>15</v>
      </c>
      <c r="N924" s="38">
        <f t="shared" si="1"/>
        <v>40.54054054054054</v>
      </c>
      <c r="O924" s="35">
        <v>15</v>
      </c>
      <c r="P924" s="38">
        <f t="shared" si="2"/>
        <v>100</v>
      </c>
      <c r="Q924" s="134" t="s">
        <v>56</v>
      </c>
      <c r="R924" s="134" t="str">
        <f t="shared" si="3"/>
        <v>X</v>
      </c>
      <c r="S924" s="135" t="s">
        <v>60</v>
      </c>
      <c r="T924" s="34" t="str">
        <f>IF('PL1(Full)'!$N924&gt;=20,"x",IF(AND('PL1(Full)'!$N924&gt;=15,'PL1(Full)'!$P924&gt;60),"x",""))</f>
        <v>x</v>
      </c>
      <c r="U924" s="34" t="str">
        <f>IF(AND('PL1(Full)'!$H924="Thôn",'PL1(Full)'!$I924&lt;75),"x",IF(AND('PL1(Full)'!$H924="Tổ",'PL1(Full)'!$I924&lt;100),"x","-"))</f>
        <v>x</v>
      </c>
      <c r="V924" s="34" t="str">
        <f>IF(AND('PL1(Full)'!$H924="Thôn",'PL1(Full)'!$I924&lt;140),"x",IF(AND('PL1(Full)'!$H924="Tổ",'PL1(Full)'!$I924&lt;210),"x","-"))</f>
        <v>x</v>
      </c>
      <c r="W924" s="40" t="str">
        <f t="shared" si="148"/>
        <v>Loại 3</v>
      </c>
      <c r="X924" s="32"/>
    </row>
    <row r="925" spans="1:24" ht="15.75" customHeight="1">
      <c r="A925" s="30">
        <f>_xlfn.AGGREGATE(4,7,A$6:A924)+1</f>
        <v>692</v>
      </c>
      <c r="B925" s="66" t="str">
        <f t="shared" si="147"/>
        <v>H. Na Rì</v>
      </c>
      <c r="C925" s="33" t="str">
        <f t="shared" si="164"/>
        <v>X. Xuân Dương</v>
      </c>
      <c r="D925" s="32"/>
      <c r="E925" s="32" t="s">
        <v>58</v>
      </c>
      <c r="F925" s="33" t="s">
        <v>999</v>
      </c>
      <c r="G925" s="34" t="s">
        <v>40</v>
      </c>
      <c r="H925" s="32" t="str">
        <f>IF(LEFT('PL1(Full)'!$F925,4)="Thôn","Thôn","Tổ")</f>
        <v>Thôn</v>
      </c>
      <c r="I925" s="35">
        <v>74</v>
      </c>
      <c r="J925" s="35">
        <v>328</v>
      </c>
      <c r="K925" s="35">
        <v>74</v>
      </c>
      <c r="L925" s="37">
        <f t="shared" si="0"/>
        <v>100</v>
      </c>
      <c r="M925" s="35">
        <v>49</v>
      </c>
      <c r="N925" s="38">
        <f t="shared" si="1"/>
        <v>66.21621621621621</v>
      </c>
      <c r="O925" s="35">
        <v>49</v>
      </c>
      <c r="P925" s="38">
        <f t="shared" si="2"/>
        <v>100</v>
      </c>
      <c r="Q925" s="134" t="s">
        <v>63</v>
      </c>
      <c r="R925" s="134" t="str">
        <f t="shared" si="3"/>
        <v>X</v>
      </c>
      <c r="S925" s="135" t="s">
        <v>60</v>
      </c>
      <c r="T925" s="34" t="str">
        <f>IF('PL1(Full)'!$N925&gt;=20,"x",IF(AND('PL1(Full)'!$N925&gt;=15,'PL1(Full)'!$P925&gt;60),"x",""))</f>
        <v>x</v>
      </c>
      <c r="U925" s="34" t="str">
        <f>IF(AND('PL1(Full)'!$H925="Thôn",'PL1(Full)'!$I925&lt;75),"x",IF(AND('PL1(Full)'!$H925="Tổ",'PL1(Full)'!$I925&lt;100),"x","-"))</f>
        <v>x</v>
      </c>
      <c r="V925" s="34" t="str">
        <f>IF(AND('PL1(Full)'!$H925="Thôn",'PL1(Full)'!$I925&lt;140),"x",IF(AND('PL1(Full)'!$H925="Tổ",'PL1(Full)'!$I925&lt;210),"x","-"))</f>
        <v>x</v>
      </c>
      <c r="W925" s="40" t="str">
        <f t="shared" si="148"/>
        <v>Loại 3</v>
      </c>
      <c r="X925" s="32"/>
    </row>
    <row r="926" spans="1:24" ht="15.75" customHeight="1">
      <c r="A926" s="41">
        <f>_xlfn.AGGREGATE(4,7,A$6:A925)+1</f>
        <v>693</v>
      </c>
      <c r="B926" s="67" t="str">
        <f t="shared" si="147"/>
        <v>H. Na Rì</v>
      </c>
      <c r="C926" s="44" t="str">
        <f t="shared" si="164"/>
        <v>X. Xuân Dương</v>
      </c>
      <c r="D926" s="43"/>
      <c r="E926" s="43" t="s">
        <v>58</v>
      </c>
      <c r="F926" s="44" t="s">
        <v>1000</v>
      </c>
      <c r="G926" s="43"/>
      <c r="H926" s="43" t="str">
        <f>IF(LEFT('PL1(Full)'!$F926,4)="Thôn","Thôn","Tổ")</f>
        <v>Thôn</v>
      </c>
      <c r="I926" s="45">
        <v>46</v>
      </c>
      <c r="J926" s="45">
        <v>215</v>
      </c>
      <c r="K926" s="45">
        <v>46</v>
      </c>
      <c r="L926" s="47">
        <f t="shared" si="0"/>
        <v>100</v>
      </c>
      <c r="M926" s="45">
        <v>27</v>
      </c>
      <c r="N926" s="48">
        <f t="shared" si="1"/>
        <v>58.695652173913047</v>
      </c>
      <c r="O926" s="45">
        <v>27</v>
      </c>
      <c r="P926" s="48">
        <f t="shared" si="2"/>
        <v>100</v>
      </c>
      <c r="Q926" s="136" t="s">
        <v>56</v>
      </c>
      <c r="R926" s="136" t="str">
        <f t="shared" si="3"/>
        <v>X</v>
      </c>
      <c r="S926" s="137" t="s">
        <v>60</v>
      </c>
      <c r="T926" s="50" t="str">
        <f>IF('PL1(Full)'!$N926&gt;=20,"x",IF(AND('PL1(Full)'!$N926&gt;=15,'PL1(Full)'!$P926&gt;60),"x",""))</f>
        <v>x</v>
      </c>
      <c r="U926" s="50" t="str">
        <f>IF(AND('PL1(Full)'!$H926="Thôn",'PL1(Full)'!$I926&lt;75),"x",IF(AND('PL1(Full)'!$H926="Tổ",'PL1(Full)'!$I926&lt;100),"x","-"))</f>
        <v>x</v>
      </c>
      <c r="V926" s="34" t="str">
        <f>IF(AND('PL1(Full)'!$H926="Thôn",'PL1(Full)'!$I926&lt;140),"x",IF(AND('PL1(Full)'!$H926="Tổ",'PL1(Full)'!$I926&lt;210),"x","-"))</f>
        <v>x</v>
      </c>
      <c r="W926" s="51" t="str">
        <f t="shared" si="148"/>
        <v>Loại 3</v>
      </c>
      <c r="X926" s="43"/>
    </row>
    <row r="927" spans="1:24" ht="15.75" hidden="1" customHeight="1">
      <c r="A927" s="12">
        <f>_xlfn.AGGREGATE(4,7,A$6:A926)+1</f>
        <v>694</v>
      </c>
      <c r="B927" s="13" t="s">
        <v>1001</v>
      </c>
      <c r="C927" s="14" t="s">
        <v>1002</v>
      </c>
      <c r="D927" s="25" t="s">
        <v>36</v>
      </c>
      <c r="E927" s="25" t="s">
        <v>36</v>
      </c>
      <c r="F927" s="14" t="s">
        <v>1003</v>
      </c>
      <c r="G927" s="25"/>
      <c r="H927" s="25" t="str">
        <f>IF(LEFT('PL1(Full)'!$F927,4)="Thôn","Thôn","Tổ")</f>
        <v>Tổ</v>
      </c>
      <c r="I927" s="20">
        <v>145</v>
      </c>
      <c r="J927" s="20">
        <v>551</v>
      </c>
      <c r="K927" s="20">
        <v>139</v>
      </c>
      <c r="L927" s="21">
        <f t="shared" si="0"/>
        <v>95.862068965517238</v>
      </c>
      <c r="M927" s="20">
        <v>3</v>
      </c>
      <c r="N927" s="22">
        <f t="shared" si="1"/>
        <v>2.0689655172413794</v>
      </c>
      <c r="O927" s="20">
        <v>3</v>
      </c>
      <c r="P927" s="22">
        <f t="shared" si="2"/>
        <v>100</v>
      </c>
      <c r="Q927" s="23" t="s">
        <v>49</v>
      </c>
      <c r="R927" s="24" t="str">
        <f t="shared" si="3"/>
        <v>X</v>
      </c>
      <c r="S927" s="25"/>
      <c r="T927" s="26" t="str">
        <f>IF('PL1(Full)'!$N927&gt;=20,"x",IF(AND('PL1(Full)'!$N927&gt;=15,'PL1(Full)'!$P927&gt;60),"x",""))</f>
        <v/>
      </c>
      <c r="U927" s="27" t="str">
        <f>IF(AND('PL1(Full)'!$H927="Thôn",'PL1(Full)'!$I927&lt;75),"x",IF(AND('PL1(Full)'!$H927="Tổ",'PL1(Full)'!$I927&lt;100),"x","-"))</f>
        <v>-</v>
      </c>
      <c r="V927" s="28" t="str">
        <f>IF(AND('PL1(Full)'!$H927="Thôn",'PL1(Full)'!$I927&lt;140),"x",IF(AND('PL1(Full)'!$H927="Tổ",'PL1(Full)'!$I927&lt;210),"x","-"))</f>
        <v>x</v>
      </c>
      <c r="W927" s="29" t="str">
        <f t="shared" ref="W927:W956" si="165">IF(I927&gt;=200,"Loại 1",IF(I927&gt;=150,"Loại 2","Loại 3"))</f>
        <v>Loại 3</v>
      </c>
      <c r="X927" s="25"/>
    </row>
    <row r="928" spans="1:24" ht="15.75" hidden="1" customHeight="1">
      <c r="A928" s="30">
        <f>_xlfn.AGGREGATE(4,7,A$6:A927)+1</f>
        <v>694</v>
      </c>
      <c r="B928" s="31" t="str">
        <f t="shared" ref="B928:C928" si="166">B927</f>
        <v>H. Ngân Sơn</v>
      </c>
      <c r="C928" s="31" t="str">
        <f t="shared" si="166"/>
        <v>TT. Vân Tùng</v>
      </c>
      <c r="D928" s="34"/>
      <c r="E928" s="34" t="s">
        <v>36</v>
      </c>
      <c r="F928" s="31" t="s">
        <v>1004</v>
      </c>
      <c r="G928" s="34"/>
      <c r="H928" s="34" t="str">
        <f>IF(LEFT('PL1(Full)'!$F928,4)="Thôn","Thôn","Tổ")</f>
        <v>Tổ</v>
      </c>
      <c r="I928" s="36">
        <v>119</v>
      </c>
      <c r="J928" s="36">
        <v>478</v>
      </c>
      <c r="K928" s="36">
        <v>100</v>
      </c>
      <c r="L928" s="37">
        <f t="shared" si="0"/>
        <v>84.033613445378151</v>
      </c>
      <c r="M928" s="36">
        <v>1</v>
      </c>
      <c r="N928" s="38">
        <f t="shared" si="1"/>
        <v>0.84033613445378152</v>
      </c>
      <c r="O928" s="36">
        <v>1</v>
      </c>
      <c r="P928" s="38">
        <f t="shared" si="2"/>
        <v>100</v>
      </c>
      <c r="Q928" s="39" t="s">
        <v>52</v>
      </c>
      <c r="R928" s="39" t="str">
        <f t="shared" si="3"/>
        <v>C</v>
      </c>
      <c r="S928" s="34"/>
      <c r="T928" s="34" t="str">
        <f>IF('PL1(Full)'!$N928&gt;=20,"x",IF(AND('PL1(Full)'!$N928&gt;=15,'PL1(Full)'!$P928&gt;60),"x",""))</f>
        <v/>
      </c>
      <c r="U928" s="34" t="str">
        <f>IF(AND('PL1(Full)'!$H928="Thôn",'PL1(Full)'!$I928&lt;75),"x",IF(AND('PL1(Full)'!$H928="Tổ",'PL1(Full)'!$I928&lt;100),"x","-"))</f>
        <v>-</v>
      </c>
      <c r="V928" s="34" t="str">
        <f>IF(AND('PL1(Full)'!$H928="Thôn",'PL1(Full)'!$I928&lt;140),"x",IF(AND('PL1(Full)'!$H928="Tổ",'PL1(Full)'!$I928&lt;210),"x","-"))</f>
        <v>x</v>
      </c>
      <c r="W928" s="40" t="str">
        <f t="shared" si="165"/>
        <v>Loại 3</v>
      </c>
      <c r="X928" s="34"/>
    </row>
    <row r="929" spans="1:24" ht="15.75" hidden="1" customHeight="1">
      <c r="A929" s="30">
        <f>_xlfn.AGGREGATE(4,7,A$6:A928)+1</f>
        <v>694</v>
      </c>
      <c r="B929" s="31" t="str">
        <f t="shared" ref="B929:C929" si="167">B928</f>
        <v>H. Ngân Sơn</v>
      </c>
      <c r="C929" s="31" t="str">
        <f t="shared" si="167"/>
        <v>TT. Vân Tùng</v>
      </c>
      <c r="D929" s="34"/>
      <c r="E929" s="34" t="s">
        <v>36</v>
      </c>
      <c r="F929" s="31" t="s">
        <v>1005</v>
      </c>
      <c r="G929" s="34"/>
      <c r="H929" s="34" t="str">
        <f>IF(LEFT('PL1(Full)'!$F929,4)="Thôn","Thôn","Tổ")</f>
        <v>Tổ</v>
      </c>
      <c r="I929" s="36">
        <v>123</v>
      </c>
      <c r="J929" s="36">
        <v>506</v>
      </c>
      <c r="K929" s="36">
        <v>112</v>
      </c>
      <c r="L929" s="37">
        <f t="shared" si="0"/>
        <v>91.056910569105696</v>
      </c>
      <c r="M929" s="36">
        <v>6</v>
      </c>
      <c r="N929" s="38">
        <f t="shared" si="1"/>
        <v>4.8780487804878048</v>
      </c>
      <c r="O929" s="36">
        <v>6</v>
      </c>
      <c r="P929" s="38">
        <f t="shared" si="2"/>
        <v>100</v>
      </c>
      <c r="Q929" s="39" t="s">
        <v>49</v>
      </c>
      <c r="R929" s="39" t="str">
        <f t="shared" si="3"/>
        <v>X</v>
      </c>
      <c r="S929" s="34"/>
      <c r="T929" s="34" t="str">
        <f>IF('PL1(Full)'!$N929&gt;=20,"x",IF(AND('PL1(Full)'!$N929&gt;=15,'PL1(Full)'!$P929&gt;60),"x",""))</f>
        <v/>
      </c>
      <c r="U929" s="34" t="str">
        <f>IF(AND('PL1(Full)'!$H929="Thôn",'PL1(Full)'!$I929&lt;75),"x",IF(AND('PL1(Full)'!$H929="Tổ",'PL1(Full)'!$I929&lt;100),"x","-"))</f>
        <v>-</v>
      </c>
      <c r="V929" s="34" t="str">
        <f>IF(AND('PL1(Full)'!$H929="Thôn",'PL1(Full)'!$I929&lt;140),"x",IF(AND('PL1(Full)'!$H929="Tổ",'PL1(Full)'!$I929&lt;210),"x","-"))</f>
        <v>x</v>
      </c>
      <c r="W929" s="40" t="str">
        <f t="shared" si="165"/>
        <v>Loại 3</v>
      </c>
      <c r="X929" s="34"/>
    </row>
    <row r="930" spans="1:24" ht="15.75" customHeight="1">
      <c r="A930" s="30">
        <f>_xlfn.AGGREGATE(4,7,A$6:A929)+1</f>
        <v>694</v>
      </c>
      <c r="B930" s="31" t="str">
        <f t="shared" ref="B930:C930" si="168">B929</f>
        <v>H. Ngân Sơn</v>
      </c>
      <c r="C930" s="31" t="str">
        <f t="shared" si="168"/>
        <v>TT. Vân Tùng</v>
      </c>
      <c r="D930" s="34"/>
      <c r="E930" s="34" t="s">
        <v>36</v>
      </c>
      <c r="F930" s="31" t="s">
        <v>1006</v>
      </c>
      <c r="G930" s="34"/>
      <c r="H930" s="34" t="str">
        <f>IF(LEFT('PL1(Full)'!$F930,4)="Thôn","Thôn","Tổ")</f>
        <v>Tổ</v>
      </c>
      <c r="I930" s="36">
        <v>79</v>
      </c>
      <c r="J930" s="36">
        <v>320</v>
      </c>
      <c r="K930" s="36">
        <v>71</v>
      </c>
      <c r="L930" s="37">
        <f t="shared" si="0"/>
        <v>89.87341772151899</v>
      </c>
      <c r="M930" s="36">
        <v>5</v>
      </c>
      <c r="N930" s="38">
        <f t="shared" si="1"/>
        <v>6.3291139240506329</v>
      </c>
      <c r="O930" s="36">
        <v>5</v>
      </c>
      <c r="P930" s="38">
        <f t="shared" si="2"/>
        <v>100</v>
      </c>
      <c r="Q930" s="39" t="s">
        <v>56</v>
      </c>
      <c r="R930" s="39" t="str">
        <f t="shared" si="3"/>
        <v>X</v>
      </c>
      <c r="S930" s="34"/>
      <c r="T930" s="34" t="str">
        <f>IF('PL1(Full)'!$N930&gt;=20,"x",IF(AND('PL1(Full)'!$N930&gt;=15,'PL1(Full)'!$P930&gt;60),"x",""))</f>
        <v/>
      </c>
      <c r="U930" s="34" t="str">
        <f>IF(AND('PL1(Full)'!$H930="Thôn",'PL1(Full)'!$I930&lt;75),"x",IF(AND('PL1(Full)'!$H930="Tổ",'PL1(Full)'!$I930&lt;100),"x","-"))</f>
        <v>x</v>
      </c>
      <c r="V930" s="34" t="str">
        <f>IF(AND('PL1(Full)'!$H930="Thôn",'PL1(Full)'!$I930&lt;140),"x",IF(AND('PL1(Full)'!$H930="Tổ",'PL1(Full)'!$I930&lt;210),"x","-"))</f>
        <v>x</v>
      </c>
      <c r="W930" s="40" t="str">
        <f t="shared" si="165"/>
        <v>Loại 3</v>
      </c>
      <c r="X930" s="34"/>
    </row>
    <row r="931" spans="1:24" ht="15.75" hidden="1" customHeight="1">
      <c r="A931" s="30">
        <f>_xlfn.AGGREGATE(4,7,A$6:A930)+1</f>
        <v>695</v>
      </c>
      <c r="B931" s="31" t="str">
        <f t="shared" ref="B931:C931" si="169">B930</f>
        <v>H. Ngân Sơn</v>
      </c>
      <c r="C931" s="31" t="str">
        <f t="shared" si="169"/>
        <v>TT. Vân Tùng</v>
      </c>
      <c r="D931" s="34"/>
      <c r="E931" s="34" t="s">
        <v>36</v>
      </c>
      <c r="F931" s="31" t="s">
        <v>1007</v>
      </c>
      <c r="G931" s="34" t="s">
        <v>40</v>
      </c>
      <c r="H931" s="34" t="str">
        <f>IF(LEFT('PL1(Full)'!$F931,4)="Thôn","Thôn","Tổ")</f>
        <v>Tổ</v>
      </c>
      <c r="I931" s="36">
        <v>137</v>
      </c>
      <c r="J931" s="36">
        <v>549</v>
      </c>
      <c r="K931" s="36">
        <v>129</v>
      </c>
      <c r="L931" s="37">
        <f t="shared" si="0"/>
        <v>94.160583941605836</v>
      </c>
      <c r="M931" s="36">
        <v>17</v>
      </c>
      <c r="N931" s="38">
        <f t="shared" si="1"/>
        <v>12.408759124087592</v>
      </c>
      <c r="O931" s="36">
        <v>17</v>
      </c>
      <c r="P931" s="38">
        <f t="shared" si="2"/>
        <v>100</v>
      </c>
      <c r="Q931" s="39" t="s">
        <v>56</v>
      </c>
      <c r="R931" s="39" t="str">
        <f t="shared" si="3"/>
        <v>X</v>
      </c>
      <c r="S931" s="34"/>
      <c r="T931" s="34" t="str">
        <f>IF('PL1(Full)'!$N931&gt;=20,"x",IF(AND('PL1(Full)'!$N931&gt;=15,'PL1(Full)'!$P931&gt;60),"x",""))</f>
        <v/>
      </c>
      <c r="U931" s="34" t="str">
        <f>IF(AND('PL1(Full)'!$H931="Thôn",'PL1(Full)'!$I931&lt;75),"x",IF(AND('PL1(Full)'!$H931="Tổ",'PL1(Full)'!$I931&lt;100),"x","-"))</f>
        <v>-</v>
      </c>
      <c r="V931" s="34" t="str">
        <f>IF(AND('PL1(Full)'!$H931="Thôn",'PL1(Full)'!$I931&lt;140),"x",IF(AND('PL1(Full)'!$H931="Tổ",'PL1(Full)'!$I931&lt;210),"x","-"))</f>
        <v>x</v>
      </c>
      <c r="W931" s="40" t="str">
        <f t="shared" si="165"/>
        <v>Loại 3</v>
      </c>
      <c r="X931" s="34"/>
    </row>
    <row r="932" spans="1:24" ht="15.75" hidden="1" customHeight="1">
      <c r="A932" s="30">
        <f>_xlfn.AGGREGATE(4,7,A$6:A931)+1</f>
        <v>695</v>
      </c>
      <c r="B932" s="31" t="str">
        <f t="shared" ref="B932:C932" si="170">B931</f>
        <v>H. Ngân Sơn</v>
      </c>
      <c r="C932" s="31" t="str">
        <f t="shared" si="170"/>
        <v>TT. Vân Tùng</v>
      </c>
      <c r="D932" s="34"/>
      <c r="E932" s="34" t="s">
        <v>36</v>
      </c>
      <c r="F932" s="31" t="s">
        <v>1008</v>
      </c>
      <c r="G932" s="34" t="s">
        <v>40</v>
      </c>
      <c r="H932" s="34" t="str">
        <f>IF(LEFT('PL1(Full)'!$F932,4)="Thôn","Thôn","Tổ")</f>
        <v>Tổ</v>
      </c>
      <c r="I932" s="36">
        <v>112</v>
      </c>
      <c r="J932" s="36">
        <v>464</v>
      </c>
      <c r="K932" s="36">
        <v>112</v>
      </c>
      <c r="L932" s="37">
        <f t="shared" si="0"/>
        <v>100</v>
      </c>
      <c r="M932" s="36">
        <v>15</v>
      </c>
      <c r="N932" s="38">
        <f t="shared" si="1"/>
        <v>13.392857142857142</v>
      </c>
      <c r="O932" s="36">
        <v>15</v>
      </c>
      <c r="P932" s="38">
        <f t="shared" si="2"/>
        <v>100</v>
      </c>
      <c r="Q932" s="39" t="s">
        <v>63</v>
      </c>
      <c r="R932" s="39" t="str">
        <f t="shared" si="3"/>
        <v>X</v>
      </c>
      <c r="S932" s="34"/>
      <c r="T932" s="34" t="str">
        <f>IF('PL1(Full)'!$N932&gt;=20,"x",IF(AND('PL1(Full)'!$N932&gt;=15,'PL1(Full)'!$P932&gt;60),"x",""))</f>
        <v/>
      </c>
      <c r="U932" s="34" t="str">
        <f>IF(AND('PL1(Full)'!$H932="Thôn",'PL1(Full)'!$I932&lt;75),"x",IF(AND('PL1(Full)'!$H932="Tổ",'PL1(Full)'!$I932&lt;100),"x","-"))</f>
        <v>-</v>
      </c>
      <c r="V932" s="34" t="str">
        <f>IF(AND('PL1(Full)'!$H932="Thôn",'PL1(Full)'!$I932&lt;140),"x",IF(AND('PL1(Full)'!$H932="Tổ",'PL1(Full)'!$I932&lt;210),"x","-"))</f>
        <v>x</v>
      </c>
      <c r="W932" s="40" t="str">
        <f t="shared" si="165"/>
        <v>Loại 3</v>
      </c>
      <c r="X932" s="34"/>
    </row>
    <row r="933" spans="1:24" ht="15.75" customHeight="1">
      <c r="A933" s="30">
        <f>_xlfn.AGGREGATE(4,7,A$6:A932)+1</f>
        <v>695</v>
      </c>
      <c r="B933" s="31" t="str">
        <f t="shared" ref="B933:C933" si="171">B932</f>
        <v>H. Ngân Sơn</v>
      </c>
      <c r="C933" s="31" t="str">
        <f t="shared" si="171"/>
        <v>TT. Vân Tùng</v>
      </c>
      <c r="D933" s="34"/>
      <c r="E933" s="34" t="s">
        <v>36</v>
      </c>
      <c r="F933" s="31" t="s">
        <v>1009</v>
      </c>
      <c r="G933" s="34" t="s">
        <v>40</v>
      </c>
      <c r="H933" s="34" t="str">
        <f>IF(LEFT('PL1(Full)'!$F933,4)="Thôn","Thôn","Tổ")</f>
        <v>Tổ</v>
      </c>
      <c r="I933" s="36">
        <v>97</v>
      </c>
      <c r="J933" s="36">
        <v>395</v>
      </c>
      <c r="K933" s="36">
        <v>93</v>
      </c>
      <c r="L933" s="37">
        <f t="shared" si="0"/>
        <v>95.876288659793815</v>
      </c>
      <c r="M933" s="36">
        <v>14</v>
      </c>
      <c r="N933" s="38">
        <f t="shared" si="1"/>
        <v>14.43298969072165</v>
      </c>
      <c r="O933" s="36">
        <v>14</v>
      </c>
      <c r="P933" s="38">
        <f t="shared" si="2"/>
        <v>100</v>
      </c>
      <c r="Q933" s="39" t="s">
        <v>63</v>
      </c>
      <c r="R933" s="39" t="str">
        <f t="shared" si="3"/>
        <v>X</v>
      </c>
      <c r="S933" s="34"/>
      <c r="T933" s="34" t="str">
        <f>IF('PL1(Full)'!$N933&gt;=20,"x",IF(AND('PL1(Full)'!$N933&gt;=15,'PL1(Full)'!$P933&gt;60),"x",""))</f>
        <v/>
      </c>
      <c r="U933" s="34" t="str">
        <f>IF(AND('PL1(Full)'!$H933="Thôn",'PL1(Full)'!$I933&lt;75),"x",IF(AND('PL1(Full)'!$H933="Tổ",'PL1(Full)'!$I933&lt;100),"x","-"))</f>
        <v>x</v>
      </c>
      <c r="V933" s="34" t="str">
        <f>IF(AND('PL1(Full)'!$H933="Thôn",'PL1(Full)'!$I933&lt;140),"x",IF(AND('PL1(Full)'!$H933="Tổ",'PL1(Full)'!$I933&lt;210),"x","-"))</f>
        <v>x</v>
      </c>
      <c r="W933" s="40" t="str">
        <f t="shared" si="165"/>
        <v>Loại 3</v>
      </c>
      <c r="X933" s="34"/>
    </row>
    <row r="934" spans="1:24" ht="15.75" customHeight="1">
      <c r="A934" s="41">
        <f>_xlfn.AGGREGATE(4,7,A$6:A933)+1</f>
        <v>696</v>
      </c>
      <c r="B934" s="42" t="str">
        <f t="shared" ref="B934:C934" si="172">B933</f>
        <v>H. Ngân Sơn</v>
      </c>
      <c r="C934" s="42" t="str">
        <f t="shared" si="172"/>
        <v>TT. Vân Tùng</v>
      </c>
      <c r="D934" s="50"/>
      <c r="E934" s="50" t="s">
        <v>36</v>
      </c>
      <c r="F934" s="42" t="s">
        <v>1010</v>
      </c>
      <c r="G934" s="50" t="s">
        <v>40</v>
      </c>
      <c r="H934" s="50" t="str">
        <f>IF(LEFT('PL1(Full)'!$F934,4)="Thôn","Thôn","Tổ")</f>
        <v>Tổ</v>
      </c>
      <c r="I934" s="46">
        <v>80</v>
      </c>
      <c r="J934" s="46">
        <v>306</v>
      </c>
      <c r="K934" s="46">
        <v>80</v>
      </c>
      <c r="L934" s="47">
        <f t="shared" si="0"/>
        <v>100</v>
      </c>
      <c r="M934" s="46">
        <v>24</v>
      </c>
      <c r="N934" s="48">
        <f t="shared" si="1"/>
        <v>30</v>
      </c>
      <c r="O934" s="46">
        <v>24</v>
      </c>
      <c r="P934" s="48">
        <f t="shared" si="2"/>
        <v>100</v>
      </c>
      <c r="Q934" s="49" t="s">
        <v>63</v>
      </c>
      <c r="R934" s="49" t="str">
        <f t="shared" si="3"/>
        <v>X</v>
      </c>
      <c r="S934" s="50" t="s">
        <v>60</v>
      </c>
      <c r="T934" s="50" t="str">
        <f>IF('PL1(Full)'!$N934&gt;=20,"x",IF(AND('PL1(Full)'!$N934&gt;=15,'PL1(Full)'!$P934&gt;60),"x",""))</f>
        <v>x</v>
      </c>
      <c r="U934" s="50" t="str">
        <f>IF(AND('PL1(Full)'!$H934="Thôn",'PL1(Full)'!$I934&lt;75),"x",IF(AND('PL1(Full)'!$H934="Tổ",'PL1(Full)'!$I934&lt;100),"x","-"))</f>
        <v>x</v>
      </c>
      <c r="V934" s="50" t="str">
        <f>IF(AND('PL1(Full)'!$H934="Thôn",'PL1(Full)'!$I934&lt;140),"x",IF(AND('PL1(Full)'!$H934="Tổ",'PL1(Full)'!$I934&lt;210),"x","-"))</f>
        <v>x</v>
      </c>
      <c r="W934" s="51" t="str">
        <f t="shared" si="165"/>
        <v>Loại 3</v>
      </c>
      <c r="X934" s="50"/>
    </row>
    <row r="935" spans="1:24" ht="15.75" hidden="1" customHeight="1">
      <c r="A935" s="52">
        <f>_xlfn.AGGREGATE(4,7,A$6:A934)+1</f>
        <v>697</v>
      </c>
      <c r="B935" s="14" t="str">
        <f t="shared" ref="B935:B1068" si="173">B934</f>
        <v>H. Ngân Sơn</v>
      </c>
      <c r="C935" s="14" t="s">
        <v>1011</v>
      </c>
      <c r="D935" s="25" t="s">
        <v>58</v>
      </c>
      <c r="E935" s="25" t="s">
        <v>58</v>
      </c>
      <c r="F935" s="14" t="s">
        <v>1012</v>
      </c>
      <c r="G935" s="25"/>
      <c r="H935" s="25" t="str">
        <f>IF(LEFT('PL1(Full)'!$F935,4)="Thôn","Thôn","Tổ")</f>
        <v>Tổ</v>
      </c>
      <c r="I935" s="20">
        <v>118</v>
      </c>
      <c r="J935" s="19">
        <v>489</v>
      </c>
      <c r="K935" s="19">
        <v>109</v>
      </c>
      <c r="L935" s="21">
        <f t="shared" si="0"/>
        <v>92.372881355932208</v>
      </c>
      <c r="M935" s="20">
        <v>52</v>
      </c>
      <c r="N935" s="22">
        <f t="shared" si="1"/>
        <v>44.067796610169495</v>
      </c>
      <c r="O935" s="20">
        <v>50</v>
      </c>
      <c r="P935" s="22">
        <f t="shared" si="2"/>
        <v>96.15384615384616</v>
      </c>
      <c r="Q935" s="23" t="s">
        <v>49</v>
      </c>
      <c r="R935" s="24" t="str">
        <f t="shared" si="3"/>
        <v>X</v>
      </c>
      <c r="S935" s="25" t="s">
        <v>60</v>
      </c>
      <c r="T935" s="26" t="str">
        <f>IF('PL1(Full)'!$N935&gt;=20,"x",IF(AND('PL1(Full)'!$N935&gt;=15,'PL1(Full)'!$P935&gt;60),"x",""))</f>
        <v>x</v>
      </c>
      <c r="U935" s="27" t="str">
        <f>IF(AND('PL1(Full)'!$H935="Thôn",'PL1(Full)'!$I935&lt;75),"x",IF(AND('PL1(Full)'!$H935="Tổ",'PL1(Full)'!$I935&lt;100),"x","-"))</f>
        <v>-</v>
      </c>
      <c r="V935" s="28" t="str">
        <f>IF(AND('PL1(Full)'!$H935="Thôn",'PL1(Full)'!$I935&lt;140),"x",IF(AND('PL1(Full)'!$H935="Tổ",'PL1(Full)'!$I935&lt;210),"x","-"))</f>
        <v>x</v>
      </c>
      <c r="W935" s="29" t="str">
        <f t="shared" si="165"/>
        <v>Loại 3</v>
      </c>
      <c r="X935" s="25"/>
    </row>
    <row r="936" spans="1:24" ht="15.75" hidden="1" customHeight="1">
      <c r="A936" s="30">
        <f>_xlfn.AGGREGATE(4,7,A$6:A935)+1</f>
        <v>697</v>
      </c>
      <c r="B936" s="31" t="str">
        <f t="shared" si="173"/>
        <v>H. Ngân Sơn</v>
      </c>
      <c r="C936" s="31" t="str">
        <f t="shared" ref="C936:C956" si="174">C935</f>
        <v>TT. Nà Phặc</v>
      </c>
      <c r="D936" s="34"/>
      <c r="E936" s="34" t="s">
        <v>58</v>
      </c>
      <c r="F936" s="31" t="s">
        <v>1013</v>
      </c>
      <c r="G936" s="34"/>
      <c r="H936" s="34" t="str">
        <f>IF(LEFT('PL1(Full)'!$F936,4)="Thôn","Thôn","Tổ")</f>
        <v>Tổ</v>
      </c>
      <c r="I936" s="36">
        <v>120</v>
      </c>
      <c r="J936" s="35">
        <v>496</v>
      </c>
      <c r="K936" s="35">
        <v>109</v>
      </c>
      <c r="L936" s="37">
        <f t="shared" si="0"/>
        <v>90.833333333333329</v>
      </c>
      <c r="M936" s="36">
        <v>46</v>
      </c>
      <c r="N936" s="38">
        <f t="shared" si="1"/>
        <v>38.333333333333336</v>
      </c>
      <c r="O936" s="36">
        <v>45</v>
      </c>
      <c r="P936" s="38">
        <f t="shared" si="2"/>
        <v>97.826086956521735</v>
      </c>
      <c r="Q936" s="39" t="s">
        <v>63</v>
      </c>
      <c r="R936" s="39" t="str">
        <f t="shared" si="3"/>
        <v>X</v>
      </c>
      <c r="S936" s="34" t="s">
        <v>60</v>
      </c>
      <c r="T936" s="34" t="str">
        <f>IF('PL1(Full)'!$N936&gt;=20,"x",IF(AND('PL1(Full)'!$N936&gt;=15,'PL1(Full)'!$P936&gt;60),"x",""))</f>
        <v>x</v>
      </c>
      <c r="U936" s="34" t="str">
        <f>IF(AND('PL1(Full)'!$H936="Thôn",'PL1(Full)'!$I936&lt;75),"x",IF(AND('PL1(Full)'!$H936="Tổ",'PL1(Full)'!$I936&lt;100),"x","-"))</f>
        <v>-</v>
      </c>
      <c r="V936" s="34" t="str">
        <f>IF(AND('PL1(Full)'!$H936="Thôn",'PL1(Full)'!$I936&lt;140),"x",IF(AND('PL1(Full)'!$H936="Tổ",'PL1(Full)'!$I936&lt;210),"x","-"))</f>
        <v>x</v>
      </c>
      <c r="W936" s="40" t="str">
        <f t="shared" si="165"/>
        <v>Loại 3</v>
      </c>
      <c r="X936" s="34"/>
    </row>
    <row r="937" spans="1:24" ht="15.75" customHeight="1">
      <c r="A937" s="30">
        <f>_xlfn.AGGREGATE(4,7,A$6:A936)+1</f>
        <v>697</v>
      </c>
      <c r="B937" s="31" t="str">
        <f t="shared" si="173"/>
        <v>H. Ngân Sơn</v>
      </c>
      <c r="C937" s="31" t="str">
        <f t="shared" si="174"/>
        <v>TT. Nà Phặc</v>
      </c>
      <c r="D937" s="34"/>
      <c r="E937" s="34" t="s">
        <v>58</v>
      </c>
      <c r="F937" s="31" t="s">
        <v>1014</v>
      </c>
      <c r="G937" s="34"/>
      <c r="H937" s="34" t="str">
        <f>IF(LEFT('PL1(Full)'!$F937,4)="Thôn","Thôn","Tổ")</f>
        <v>Tổ</v>
      </c>
      <c r="I937" s="36">
        <v>75</v>
      </c>
      <c r="J937" s="35">
        <v>329</v>
      </c>
      <c r="K937" s="35">
        <v>73</v>
      </c>
      <c r="L937" s="37">
        <f t="shared" si="0"/>
        <v>97.333333333333329</v>
      </c>
      <c r="M937" s="36">
        <v>32</v>
      </c>
      <c r="N937" s="38">
        <f t="shared" si="1"/>
        <v>42.666666666666664</v>
      </c>
      <c r="O937" s="36">
        <v>32</v>
      </c>
      <c r="P937" s="38">
        <f t="shared" si="2"/>
        <v>100</v>
      </c>
      <c r="Q937" s="39" t="s">
        <v>154</v>
      </c>
      <c r="R937" s="39" t="str">
        <f t="shared" si="3"/>
        <v>X</v>
      </c>
      <c r="S937" s="34" t="s">
        <v>60</v>
      </c>
      <c r="T937" s="34" t="str">
        <f>IF('PL1(Full)'!$N937&gt;=20,"x",IF(AND('PL1(Full)'!$N937&gt;=15,'PL1(Full)'!$P937&gt;60),"x",""))</f>
        <v>x</v>
      </c>
      <c r="U937" s="34" t="str">
        <f>IF(AND('PL1(Full)'!$H937="Thôn",'PL1(Full)'!$I937&lt;75),"x",IF(AND('PL1(Full)'!$H937="Tổ",'PL1(Full)'!$I937&lt;100),"x","-"))</f>
        <v>x</v>
      </c>
      <c r="V937" s="34" t="str">
        <f>IF(AND('PL1(Full)'!$H937="Thôn",'PL1(Full)'!$I937&lt;140),"x",IF(AND('PL1(Full)'!$H937="Tổ",'PL1(Full)'!$I937&lt;210),"x","-"))</f>
        <v>x</v>
      </c>
      <c r="W937" s="40" t="str">
        <f t="shared" si="165"/>
        <v>Loại 3</v>
      </c>
      <c r="X937" s="34"/>
    </row>
    <row r="938" spans="1:24" ht="15.75" customHeight="1">
      <c r="A938" s="30">
        <f>_xlfn.AGGREGATE(4,7,A$6:A937)+1</f>
        <v>698</v>
      </c>
      <c r="B938" s="31" t="str">
        <f t="shared" si="173"/>
        <v>H. Ngân Sơn</v>
      </c>
      <c r="C938" s="31" t="str">
        <f t="shared" si="174"/>
        <v>TT. Nà Phặc</v>
      </c>
      <c r="D938" s="34"/>
      <c r="E938" s="34" t="s">
        <v>58</v>
      </c>
      <c r="F938" s="31" t="s">
        <v>1015</v>
      </c>
      <c r="G938" s="34"/>
      <c r="H938" s="34" t="str">
        <f>IF(LEFT('PL1(Full)'!$F938,4)="Thôn","Thôn","Tổ")</f>
        <v>Tổ</v>
      </c>
      <c r="I938" s="36">
        <v>58</v>
      </c>
      <c r="J938" s="36">
        <v>257</v>
      </c>
      <c r="K938" s="36">
        <v>56</v>
      </c>
      <c r="L938" s="37">
        <f t="shared" si="0"/>
        <v>96.551724137931032</v>
      </c>
      <c r="M938" s="36">
        <v>13</v>
      </c>
      <c r="N938" s="38">
        <f t="shared" si="1"/>
        <v>22.413793103448278</v>
      </c>
      <c r="O938" s="36">
        <v>11</v>
      </c>
      <c r="P938" s="38">
        <f t="shared" si="2"/>
        <v>84.615384615384613</v>
      </c>
      <c r="Q938" s="39" t="s">
        <v>300</v>
      </c>
      <c r="R938" s="39" t="str">
        <f t="shared" si="3"/>
        <v>T</v>
      </c>
      <c r="S938" s="34" t="s">
        <v>60</v>
      </c>
      <c r="T938" s="34" t="str">
        <f>IF('PL1(Full)'!$N938&gt;=20,"x",IF(AND('PL1(Full)'!$N938&gt;=15,'PL1(Full)'!$P938&gt;60),"x",""))</f>
        <v>x</v>
      </c>
      <c r="U938" s="34" t="str">
        <f>IF(AND('PL1(Full)'!$H938="Thôn",'PL1(Full)'!$I938&lt;75),"x",IF(AND('PL1(Full)'!$H938="Tổ",'PL1(Full)'!$I938&lt;100),"x","-"))</f>
        <v>x</v>
      </c>
      <c r="V938" s="34" t="str">
        <f>IF(AND('PL1(Full)'!$H938="Thôn",'PL1(Full)'!$I938&lt;140),"x",IF(AND('PL1(Full)'!$H938="Tổ",'PL1(Full)'!$I938&lt;210),"x","-"))</f>
        <v>x</v>
      </c>
      <c r="W938" s="40" t="str">
        <f t="shared" si="165"/>
        <v>Loại 3</v>
      </c>
      <c r="X938" s="34"/>
    </row>
    <row r="939" spans="1:24" ht="15.75" customHeight="1">
      <c r="A939" s="30">
        <f>_xlfn.AGGREGATE(4,7,A$6:A938)+1</f>
        <v>699</v>
      </c>
      <c r="B939" s="31" t="str">
        <f t="shared" si="173"/>
        <v>H. Ngân Sơn</v>
      </c>
      <c r="C939" s="31" t="str">
        <f t="shared" si="174"/>
        <v>TT. Nà Phặc</v>
      </c>
      <c r="D939" s="34"/>
      <c r="E939" s="34" t="s">
        <v>58</v>
      </c>
      <c r="F939" s="31" t="s">
        <v>1016</v>
      </c>
      <c r="G939" s="34"/>
      <c r="H939" s="34" t="str">
        <f>IF(LEFT('PL1(Full)'!$F939,4)="Thôn","Thôn","Tổ")</f>
        <v>Tổ</v>
      </c>
      <c r="I939" s="36">
        <v>39</v>
      </c>
      <c r="J939" s="35">
        <v>205</v>
      </c>
      <c r="K939" s="35">
        <v>37</v>
      </c>
      <c r="L939" s="37">
        <f t="shared" si="0"/>
        <v>94.871794871794876</v>
      </c>
      <c r="M939" s="36">
        <v>31</v>
      </c>
      <c r="N939" s="38">
        <f t="shared" si="1"/>
        <v>79.487179487179489</v>
      </c>
      <c r="O939" s="36">
        <v>30</v>
      </c>
      <c r="P939" s="38">
        <f t="shared" si="2"/>
        <v>96.774193548387103</v>
      </c>
      <c r="Q939" s="39" t="s">
        <v>300</v>
      </c>
      <c r="R939" s="39" t="str">
        <f t="shared" si="3"/>
        <v>T</v>
      </c>
      <c r="S939" s="34" t="s">
        <v>60</v>
      </c>
      <c r="T939" s="34" t="str">
        <f>IF('PL1(Full)'!$N939&gt;=20,"x",IF(AND('PL1(Full)'!$N939&gt;=15,'PL1(Full)'!$P939&gt;60),"x",""))</f>
        <v>x</v>
      </c>
      <c r="U939" s="34" t="str">
        <f>IF(AND('PL1(Full)'!$H939="Thôn",'PL1(Full)'!$I939&lt;75),"x",IF(AND('PL1(Full)'!$H939="Tổ",'PL1(Full)'!$I939&lt;100),"x","-"))</f>
        <v>x</v>
      </c>
      <c r="V939" s="34" t="str">
        <f>IF(AND('PL1(Full)'!$H939="Thôn",'PL1(Full)'!$I939&lt;140),"x",IF(AND('PL1(Full)'!$H939="Tổ",'PL1(Full)'!$I939&lt;210),"x","-"))</f>
        <v>x</v>
      </c>
      <c r="W939" s="40" t="str">
        <f t="shared" si="165"/>
        <v>Loại 3</v>
      </c>
      <c r="X939" s="34"/>
    </row>
    <row r="940" spans="1:24" ht="15.75" customHeight="1">
      <c r="A940" s="30">
        <f>_xlfn.AGGREGATE(4,7,A$6:A939)+1</f>
        <v>700</v>
      </c>
      <c r="B940" s="31" t="str">
        <f t="shared" si="173"/>
        <v>H. Ngân Sơn</v>
      </c>
      <c r="C940" s="31" t="str">
        <f t="shared" si="174"/>
        <v>TT. Nà Phặc</v>
      </c>
      <c r="D940" s="34"/>
      <c r="E940" s="34" t="s">
        <v>58</v>
      </c>
      <c r="F940" s="31" t="s">
        <v>1017</v>
      </c>
      <c r="G940" s="34"/>
      <c r="H940" s="34" t="str">
        <f>IF(LEFT('PL1(Full)'!$F940,4)="Thôn","Thôn","Tổ")</f>
        <v>Tổ</v>
      </c>
      <c r="I940" s="36">
        <v>70</v>
      </c>
      <c r="J940" s="35">
        <v>260</v>
      </c>
      <c r="K940" s="35">
        <v>31</v>
      </c>
      <c r="L940" s="37">
        <f t="shared" si="0"/>
        <v>44.285714285714285</v>
      </c>
      <c r="M940" s="36">
        <v>27</v>
      </c>
      <c r="N940" s="38">
        <f t="shared" si="1"/>
        <v>38.571428571428569</v>
      </c>
      <c r="O940" s="36">
        <v>12</v>
      </c>
      <c r="P940" s="38">
        <f t="shared" si="2"/>
        <v>44.444444444444443</v>
      </c>
      <c r="Q940" s="39" t="s">
        <v>63</v>
      </c>
      <c r="R940" s="39" t="str">
        <f t="shared" si="3"/>
        <v>X</v>
      </c>
      <c r="S940" s="34"/>
      <c r="T940" s="34" t="str">
        <f>IF('PL1(Full)'!$N940&gt;=20,"x",IF(AND('PL1(Full)'!$N940&gt;=15,'PL1(Full)'!$P940&gt;60),"x",""))</f>
        <v>x</v>
      </c>
      <c r="U940" s="34" t="str">
        <f>IF(AND('PL1(Full)'!$H940="Thôn",'PL1(Full)'!$I940&lt;75),"x",IF(AND('PL1(Full)'!$H940="Tổ",'PL1(Full)'!$I940&lt;100),"x","-"))</f>
        <v>x</v>
      </c>
      <c r="V940" s="34" t="str">
        <f>IF(AND('PL1(Full)'!$H940="Thôn",'PL1(Full)'!$I940&lt;140),"x",IF(AND('PL1(Full)'!$H940="Tổ",'PL1(Full)'!$I940&lt;210),"x","-"))</f>
        <v>x</v>
      </c>
      <c r="W940" s="40" t="str">
        <f t="shared" si="165"/>
        <v>Loại 3</v>
      </c>
      <c r="X940" s="34"/>
    </row>
    <row r="941" spans="1:24" ht="15.75" customHeight="1">
      <c r="A941" s="30">
        <f>_xlfn.AGGREGATE(4,7,A$6:A940)+1</f>
        <v>701</v>
      </c>
      <c r="B941" s="31" t="str">
        <f t="shared" si="173"/>
        <v>H. Ngân Sơn</v>
      </c>
      <c r="C941" s="31" t="str">
        <f t="shared" si="174"/>
        <v>TT. Nà Phặc</v>
      </c>
      <c r="D941" s="34"/>
      <c r="E941" s="34" t="s">
        <v>58</v>
      </c>
      <c r="F941" s="31" t="s">
        <v>1018</v>
      </c>
      <c r="G941" s="34"/>
      <c r="H941" s="34" t="str">
        <f>IF(LEFT('PL1(Full)'!$F941,4)="Thôn","Thôn","Tổ")</f>
        <v>Tổ</v>
      </c>
      <c r="I941" s="36">
        <v>67</v>
      </c>
      <c r="J941" s="35">
        <v>291</v>
      </c>
      <c r="K941" s="35">
        <v>62</v>
      </c>
      <c r="L941" s="37">
        <f t="shared" si="0"/>
        <v>92.537313432835816</v>
      </c>
      <c r="M941" s="36">
        <v>21</v>
      </c>
      <c r="N941" s="38">
        <f t="shared" si="1"/>
        <v>31.343283582089551</v>
      </c>
      <c r="O941" s="36">
        <v>21</v>
      </c>
      <c r="P941" s="38">
        <f t="shared" si="2"/>
        <v>100</v>
      </c>
      <c r="Q941" s="39" t="s">
        <v>49</v>
      </c>
      <c r="R941" s="39" t="str">
        <f t="shared" si="3"/>
        <v>X</v>
      </c>
      <c r="S941" s="34" t="s">
        <v>60</v>
      </c>
      <c r="T941" s="34" t="str">
        <f>IF('PL1(Full)'!$N941&gt;=20,"x",IF(AND('PL1(Full)'!$N941&gt;=15,'PL1(Full)'!$P941&gt;60),"x",""))</f>
        <v>x</v>
      </c>
      <c r="U941" s="34" t="str">
        <f>IF(AND('PL1(Full)'!$H941="Thôn",'PL1(Full)'!$I941&lt;75),"x",IF(AND('PL1(Full)'!$H941="Tổ",'PL1(Full)'!$I941&lt;100),"x","-"))</f>
        <v>x</v>
      </c>
      <c r="V941" s="34" t="str">
        <f>IF(AND('PL1(Full)'!$H941="Thôn",'PL1(Full)'!$I941&lt;140),"x",IF(AND('PL1(Full)'!$H941="Tổ",'PL1(Full)'!$I941&lt;210),"x","-"))</f>
        <v>x</v>
      </c>
      <c r="W941" s="40" t="str">
        <f t="shared" si="165"/>
        <v>Loại 3</v>
      </c>
      <c r="X941" s="34"/>
    </row>
    <row r="942" spans="1:24" ht="15.75" customHeight="1">
      <c r="A942" s="30">
        <f>_xlfn.AGGREGATE(4,7,A$6:A941)+1</f>
        <v>702</v>
      </c>
      <c r="B942" s="31" t="str">
        <f t="shared" si="173"/>
        <v>H. Ngân Sơn</v>
      </c>
      <c r="C942" s="31" t="str">
        <f t="shared" si="174"/>
        <v>TT. Nà Phặc</v>
      </c>
      <c r="D942" s="34"/>
      <c r="E942" s="34" t="s">
        <v>58</v>
      </c>
      <c r="F942" s="31" t="s">
        <v>1019</v>
      </c>
      <c r="G942" s="34"/>
      <c r="H942" s="34" t="str">
        <f>IF(LEFT('PL1(Full)'!$F942,4)="Thôn","Thôn","Tổ")</f>
        <v>Tổ</v>
      </c>
      <c r="I942" s="36">
        <v>89</v>
      </c>
      <c r="J942" s="35">
        <v>467</v>
      </c>
      <c r="K942" s="35">
        <v>88</v>
      </c>
      <c r="L942" s="37">
        <f t="shared" si="0"/>
        <v>98.876404494382029</v>
      </c>
      <c r="M942" s="36">
        <v>86</v>
      </c>
      <c r="N942" s="38">
        <f t="shared" si="1"/>
        <v>96.629213483146074</v>
      </c>
      <c r="O942" s="36">
        <v>86</v>
      </c>
      <c r="P942" s="38">
        <f t="shared" si="2"/>
        <v>100</v>
      </c>
      <c r="Q942" s="39" t="s">
        <v>49</v>
      </c>
      <c r="R942" s="39" t="str">
        <f t="shared" si="3"/>
        <v>X</v>
      </c>
      <c r="S942" s="34" t="s">
        <v>60</v>
      </c>
      <c r="T942" s="34" t="str">
        <f>IF('PL1(Full)'!$N942&gt;=20,"x",IF(AND('PL1(Full)'!$N942&gt;=15,'PL1(Full)'!$P942&gt;60),"x",""))</f>
        <v>x</v>
      </c>
      <c r="U942" s="34" t="str">
        <f>IF(AND('PL1(Full)'!$H942="Thôn",'PL1(Full)'!$I942&lt;75),"x",IF(AND('PL1(Full)'!$H942="Tổ",'PL1(Full)'!$I942&lt;100),"x","-"))</f>
        <v>x</v>
      </c>
      <c r="V942" s="34" t="str">
        <f>IF(AND('PL1(Full)'!$H942="Thôn",'PL1(Full)'!$I942&lt;140),"x",IF(AND('PL1(Full)'!$H942="Tổ",'PL1(Full)'!$I942&lt;210),"x","-"))</f>
        <v>x</v>
      </c>
      <c r="W942" s="40" t="str">
        <f t="shared" si="165"/>
        <v>Loại 3</v>
      </c>
      <c r="X942" s="34"/>
    </row>
    <row r="943" spans="1:24" ht="15.75" customHeight="1">
      <c r="A943" s="30">
        <f>_xlfn.AGGREGATE(4,7,A$6:A942)+1</f>
        <v>703</v>
      </c>
      <c r="B943" s="31" t="str">
        <f t="shared" si="173"/>
        <v>H. Ngân Sơn</v>
      </c>
      <c r="C943" s="31" t="str">
        <f t="shared" si="174"/>
        <v>TT. Nà Phặc</v>
      </c>
      <c r="D943" s="34"/>
      <c r="E943" s="34" t="s">
        <v>58</v>
      </c>
      <c r="F943" s="31" t="s">
        <v>1020</v>
      </c>
      <c r="G943" s="34"/>
      <c r="H943" s="34" t="str">
        <f>IF(LEFT('PL1(Full)'!$F943,4)="Thôn","Thôn","Tổ")</f>
        <v>Tổ</v>
      </c>
      <c r="I943" s="36">
        <v>37</v>
      </c>
      <c r="J943" s="35">
        <v>172</v>
      </c>
      <c r="K943" s="35">
        <v>37</v>
      </c>
      <c r="L943" s="37">
        <f t="shared" si="0"/>
        <v>100</v>
      </c>
      <c r="M943" s="36">
        <v>37</v>
      </c>
      <c r="N943" s="38">
        <f t="shared" si="1"/>
        <v>100</v>
      </c>
      <c r="O943" s="36">
        <v>37</v>
      </c>
      <c r="P943" s="38">
        <f t="shared" si="2"/>
        <v>100</v>
      </c>
      <c r="Q943" s="39" t="s">
        <v>52</v>
      </c>
      <c r="R943" s="39" t="str">
        <f t="shared" si="3"/>
        <v>C</v>
      </c>
      <c r="S943" s="34" t="s">
        <v>60</v>
      </c>
      <c r="T943" s="34" t="str">
        <f>IF('PL1(Full)'!$N943&gt;=20,"x",IF(AND('PL1(Full)'!$N943&gt;=15,'PL1(Full)'!$P943&gt;60),"x",""))</f>
        <v>x</v>
      </c>
      <c r="U943" s="34" t="str">
        <f>IF(AND('PL1(Full)'!$H943="Thôn",'PL1(Full)'!$I943&lt;75),"x",IF(AND('PL1(Full)'!$H943="Tổ",'PL1(Full)'!$I943&lt;100),"x","-"))</f>
        <v>x</v>
      </c>
      <c r="V943" s="34" t="str">
        <f>IF(AND('PL1(Full)'!$H943="Thôn",'PL1(Full)'!$I943&lt;140),"x",IF(AND('PL1(Full)'!$H943="Tổ",'PL1(Full)'!$I943&lt;210),"x","-"))</f>
        <v>x</v>
      </c>
      <c r="W943" s="40" t="str">
        <f t="shared" si="165"/>
        <v>Loại 3</v>
      </c>
      <c r="X943" s="34"/>
    </row>
    <row r="944" spans="1:24" ht="15.75" customHeight="1">
      <c r="A944" s="30">
        <f>_xlfn.AGGREGATE(4,7,A$6:A943)+1</f>
        <v>704</v>
      </c>
      <c r="B944" s="31" t="str">
        <f t="shared" si="173"/>
        <v>H. Ngân Sơn</v>
      </c>
      <c r="C944" s="31" t="str">
        <f t="shared" si="174"/>
        <v>TT. Nà Phặc</v>
      </c>
      <c r="D944" s="34"/>
      <c r="E944" s="34" t="s">
        <v>58</v>
      </c>
      <c r="F944" s="31" t="s">
        <v>1021</v>
      </c>
      <c r="G944" s="34"/>
      <c r="H944" s="34" t="str">
        <f>IF(LEFT('PL1(Full)'!$F944,4)="Thôn","Thôn","Tổ")</f>
        <v>Tổ</v>
      </c>
      <c r="I944" s="36">
        <v>34</v>
      </c>
      <c r="J944" s="35">
        <v>187</v>
      </c>
      <c r="K944" s="35">
        <v>34</v>
      </c>
      <c r="L944" s="37">
        <f t="shared" si="0"/>
        <v>100</v>
      </c>
      <c r="M944" s="36">
        <v>34</v>
      </c>
      <c r="N944" s="38">
        <f t="shared" si="1"/>
        <v>100</v>
      </c>
      <c r="O944" s="36">
        <v>34</v>
      </c>
      <c r="P944" s="38">
        <f t="shared" si="2"/>
        <v>100</v>
      </c>
      <c r="Q944" s="39" t="s">
        <v>63</v>
      </c>
      <c r="R944" s="39" t="str">
        <f t="shared" si="3"/>
        <v>X</v>
      </c>
      <c r="S944" s="34" t="s">
        <v>60</v>
      </c>
      <c r="T944" s="34" t="str">
        <f>IF('PL1(Full)'!$N944&gt;=20,"x",IF(AND('PL1(Full)'!$N944&gt;=15,'PL1(Full)'!$P944&gt;60),"x",""))</f>
        <v>x</v>
      </c>
      <c r="U944" s="34" t="str">
        <f>IF(AND('PL1(Full)'!$H944="Thôn",'PL1(Full)'!$I944&lt;75),"x",IF(AND('PL1(Full)'!$H944="Tổ",'PL1(Full)'!$I944&lt;100),"x","-"))</f>
        <v>x</v>
      </c>
      <c r="V944" s="34" t="str">
        <f>IF(AND('PL1(Full)'!$H944="Thôn",'PL1(Full)'!$I944&lt;140),"x",IF(AND('PL1(Full)'!$H944="Tổ",'PL1(Full)'!$I944&lt;210),"x","-"))</f>
        <v>x</v>
      </c>
      <c r="W944" s="40" t="str">
        <f t="shared" si="165"/>
        <v>Loại 3</v>
      </c>
      <c r="X944" s="34"/>
    </row>
    <row r="945" spans="1:24" ht="15.75" customHeight="1">
      <c r="A945" s="30">
        <f>_xlfn.AGGREGATE(4,7,A$6:A944)+1</f>
        <v>705</v>
      </c>
      <c r="B945" s="31" t="str">
        <f t="shared" si="173"/>
        <v>H. Ngân Sơn</v>
      </c>
      <c r="C945" s="31" t="str">
        <f t="shared" si="174"/>
        <v>TT. Nà Phặc</v>
      </c>
      <c r="D945" s="34"/>
      <c r="E945" s="34" t="s">
        <v>58</v>
      </c>
      <c r="F945" s="31" t="s">
        <v>1022</v>
      </c>
      <c r="G945" s="34" t="s">
        <v>40</v>
      </c>
      <c r="H945" s="34" t="str">
        <f>IF(LEFT('PL1(Full)'!$F945,4)="Thôn","Thôn","Tổ")</f>
        <v>Tổ</v>
      </c>
      <c r="I945" s="36">
        <v>92</v>
      </c>
      <c r="J945" s="36">
        <v>361</v>
      </c>
      <c r="K945" s="36">
        <v>85</v>
      </c>
      <c r="L945" s="37">
        <f t="shared" si="0"/>
        <v>92.391304347826093</v>
      </c>
      <c r="M945" s="36">
        <v>50</v>
      </c>
      <c r="N945" s="38">
        <f t="shared" si="1"/>
        <v>54.347826086956523</v>
      </c>
      <c r="O945" s="36">
        <v>48</v>
      </c>
      <c r="P945" s="38">
        <f t="shared" si="2"/>
        <v>96</v>
      </c>
      <c r="Q945" s="39" t="s">
        <v>63</v>
      </c>
      <c r="R945" s="39" t="str">
        <f t="shared" si="3"/>
        <v>X</v>
      </c>
      <c r="S945" s="34" t="s">
        <v>60</v>
      </c>
      <c r="T945" s="34" t="str">
        <f>IF('PL1(Full)'!$N945&gt;=20,"x",IF(AND('PL1(Full)'!$N945&gt;=15,'PL1(Full)'!$P945&gt;60),"x",""))</f>
        <v>x</v>
      </c>
      <c r="U945" s="34" t="str">
        <f>IF(AND('PL1(Full)'!$H945="Thôn",'PL1(Full)'!$I945&lt;75),"x",IF(AND('PL1(Full)'!$H945="Tổ",'PL1(Full)'!$I945&lt;100),"x","-"))</f>
        <v>x</v>
      </c>
      <c r="V945" s="34" t="str">
        <f>IF(AND('PL1(Full)'!$H945="Thôn",'PL1(Full)'!$I945&lt;140),"x",IF(AND('PL1(Full)'!$H945="Tổ",'PL1(Full)'!$I945&lt;210),"x","-"))</f>
        <v>x</v>
      </c>
      <c r="W945" s="40" t="str">
        <f t="shared" si="165"/>
        <v>Loại 3</v>
      </c>
      <c r="X945" s="34"/>
    </row>
    <row r="946" spans="1:24" ht="15.75" customHeight="1">
      <c r="A946" s="30">
        <f>_xlfn.AGGREGATE(4,7,A$6:A945)+1</f>
        <v>706</v>
      </c>
      <c r="B946" s="31" t="str">
        <f t="shared" si="173"/>
        <v>H. Ngân Sơn</v>
      </c>
      <c r="C946" s="31" t="str">
        <f t="shared" si="174"/>
        <v>TT. Nà Phặc</v>
      </c>
      <c r="D946" s="34"/>
      <c r="E946" s="34" t="s">
        <v>58</v>
      </c>
      <c r="F946" s="31" t="s">
        <v>1023</v>
      </c>
      <c r="G946" s="34" t="s">
        <v>40</v>
      </c>
      <c r="H946" s="34" t="str">
        <f>IF(LEFT('PL1(Full)'!$F946,4)="Thôn","Thôn","Tổ")</f>
        <v>Tổ</v>
      </c>
      <c r="I946" s="36">
        <v>85</v>
      </c>
      <c r="J946" s="36">
        <v>325</v>
      </c>
      <c r="K946" s="36">
        <v>76</v>
      </c>
      <c r="L946" s="37">
        <f t="shared" si="0"/>
        <v>89.411764705882348</v>
      </c>
      <c r="M946" s="36">
        <v>33</v>
      </c>
      <c r="N946" s="38">
        <f t="shared" si="1"/>
        <v>38.823529411764703</v>
      </c>
      <c r="O946" s="36">
        <v>32</v>
      </c>
      <c r="P946" s="38">
        <f t="shared" si="2"/>
        <v>96.969696969696969</v>
      </c>
      <c r="Q946" s="39" t="s">
        <v>52</v>
      </c>
      <c r="R946" s="39" t="str">
        <f t="shared" si="3"/>
        <v>C</v>
      </c>
      <c r="S946" s="34" t="s">
        <v>60</v>
      </c>
      <c r="T946" s="34" t="str">
        <f>IF('PL1(Full)'!$N946&gt;=20,"x",IF(AND('PL1(Full)'!$N946&gt;=15,'PL1(Full)'!$P946&gt;60),"x",""))</f>
        <v>x</v>
      </c>
      <c r="U946" s="34" t="str">
        <f>IF(AND('PL1(Full)'!$H946="Thôn",'PL1(Full)'!$I946&lt;75),"x",IF(AND('PL1(Full)'!$H946="Tổ",'PL1(Full)'!$I946&lt;100),"x","-"))</f>
        <v>x</v>
      </c>
      <c r="V946" s="34" t="str">
        <f>IF(AND('PL1(Full)'!$H946="Thôn",'PL1(Full)'!$I946&lt;140),"x",IF(AND('PL1(Full)'!$H946="Tổ",'PL1(Full)'!$I946&lt;210),"x","-"))</f>
        <v>x</v>
      </c>
      <c r="W946" s="40" t="str">
        <f t="shared" si="165"/>
        <v>Loại 3</v>
      </c>
      <c r="X946" s="34"/>
    </row>
    <row r="947" spans="1:24" ht="15.75" customHeight="1">
      <c r="A947" s="30">
        <f>_xlfn.AGGREGATE(4,7,A$6:A946)+1</f>
        <v>707</v>
      </c>
      <c r="B947" s="31" t="str">
        <f t="shared" si="173"/>
        <v>H. Ngân Sơn</v>
      </c>
      <c r="C947" s="31" t="str">
        <f t="shared" si="174"/>
        <v>TT. Nà Phặc</v>
      </c>
      <c r="D947" s="34"/>
      <c r="E947" s="34" t="s">
        <v>58</v>
      </c>
      <c r="F947" s="31" t="s">
        <v>1024</v>
      </c>
      <c r="G947" s="34"/>
      <c r="H947" s="34" t="str">
        <f>IF(LEFT('PL1(Full)'!$F947,4)="Thôn","Thôn","Tổ")</f>
        <v>Tổ</v>
      </c>
      <c r="I947" s="36">
        <v>61</v>
      </c>
      <c r="J947" s="35">
        <v>258</v>
      </c>
      <c r="K947" s="35">
        <v>71</v>
      </c>
      <c r="L947" s="37">
        <f t="shared" si="0"/>
        <v>116.39344262295081</v>
      </c>
      <c r="M947" s="36">
        <v>15</v>
      </c>
      <c r="N947" s="38">
        <f t="shared" si="1"/>
        <v>24.590163934426229</v>
      </c>
      <c r="O947" s="36">
        <v>11</v>
      </c>
      <c r="P947" s="38">
        <f t="shared" si="2"/>
        <v>73.333333333333329</v>
      </c>
      <c r="Q947" s="39" t="s">
        <v>154</v>
      </c>
      <c r="R947" s="39" t="str">
        <f t="shared" si="3"/>
        <v>X</v>
      </c>
      <c r="S947" s="34" t="s">
        <v>60</v>
      </c>
      <c r="T947" s="34" t="str">
        <f>IF('PL1(Full)'!$N947&gt;=20,"x",IF(AND('PL1(Full)'!$N947&gt;=15,'PL1(Full)'!$P947&gt;60),"x",""))</f>
        <v>x</v>
      </c>
      <c r="U947" s="34" t="str">
        <f>IF(AND('PL1(Full)'!$H947="Thôn",'PL1(Full)'!$I947&lt;75),"x",IF(AND('PL1(Full)'!$H947="Tổ",'PL1(Full)'!$I947&lt;100),"x","-"))</f>
        <v>x</v>
      </c>
      <c r="V947" s="34" t="str">
        <f>IF(AND('PL1(Full)'!$H947="Thôn",'PL1(Full)'!$I947&lt;140),"x",IF(AND('PL1(Full)'!$H947="Tổ",'PL1(Full)'!$I947&lt;210),"x","-"))</f>
        <v>x</v>
      </c>
      <c r="W947" s="40" t="str">
        <f t="shared" si="165"/>
        <v>Loại 3</v>
      </c>
      <c r="X947" s="34"/>
    </row>
    <row r="948" spans="1:24" ht="15.75" customHeight="1">
      <c r="A948" s="30">
        <f>_xlfn.AGGREGATE(4,7,A$6:A947)+1</f>
        <v>708</v>
      </c>
      <c r="B948" s="31" t="str">
        <f t="shared" si="173"/>
        <v>H. Ngân Sơn</v>
      </c>
      <c r="C948" s="31" t="str">
        <f t="shared" si="174"/>
        <v>TT. Nà Phặc</v>
      </c>
      <c r="D948" s="34"/>
      <c r="E948" s="34" t="s">
        <v>58</v>
      </c>
      <c r="F948" s="31" t="s">
        <v>1025</v>
      </c>
      <c r="G948" s="34"/>
      <c r="H948" s="34" t="str">
        <f>IF(LEFT('PL1(Full)'!$F948,4)="Thôn","Thôn","Tổ")</f>
        <v>Tổ</v>
      </c>
      <c r="I948" s="36">
        <v>76</v>
      </c>
      <c r="J948" s="35">
        <v>312</v>
      </c>
      <c r="K948" s="35">
        <v>75</v>
      </c>
      <c r="L948" s="37">
        <f t="shared" si="0"/>
        <v>98.684210526315795</v>
      </c>
      <c r="M948" s="36">
        <v>41</v>
      </c>
      <c r="N948" s="38">
        <f t="shared" si="1"/>
        <v>53.94736842105263</v>
      </c>
      <c r="O948" s="36">
        <v>41</v>
      </c>
      <c r="P948" s="38">
        <f t="shared" si="2"/>
        <v>100</v>
      </c>
      <c r="Q948" s="39" t="s">
        <v>300</v>
      </c>
      <c r="R948" s="39" t="str">
        <f t="shared" si="3"/>
        <v>T</v>
      </c>
      <c r="S948" s="34" t="s">
        <v>60</v>
      </c>
      <c r="T948" s="34" t="str">
        <f>IF('PL1(Full)'!$N948&gt;=20,"x",IF(AND('PL1(Full)'!$N948&gt;=15,'PL1(Full)'!$P948&gt;60),"x",""))</f>
        <v>x</v>
      </c>
      <c r="U948" s="34" t="str">
        <f>IF(AND('PL1(Full)'!$H948="Thôn",'PL1(Full)'!$I948&lt;75),"x",IF(AND('PL1(Full)'!$H948="Tổ",'PL1(Full)'!$I948&lt;100),"x","-"))</f>
        <v>x</v>
      </c>
      <c r="V948" s="34" t="str">
        <f>IF(AND('PL1(Full)'!$H948="Thôn",'PL1(Full)'!$I948&lt;140),"x",IF(AND('PL1(Full)'!$H948="Tổ",'PL1(Full)'!$I948&lt;210),"x","-"))</f>
        <v>x</v>
      </c>
      <c r="W948" s="40" t="str">
        <f t="shared" si="165"/>
        <v>Loại 3</v>
      </c>
      <c r="X948" s="34"/>
    </row>
    <row r="949" spans="1:24" ht="15.75" customHeight="1">
      <c r="A949" s="30">
        <f>_xlfn.AGGREGATE(4,7,A$6:A948)+1</f>
        <v>709</v>
      </c>
      <c r="B949" s="31" t="str">
        <f t="shared" si="173"/>
        <v>H. Ngân Sơn</v>
      </c>
      <c r="C949" s="31" t="str">
        <f t="shared" si="174"/>
        <v>TT. Nà Phặc</v>
      </c>
      <c r="D949" s="34"/>
      <c r="E949" s="34" t="s">
        <v>58</v>
      </c>
      <c r="F949" s="31" t="s">
        <v>1026</v>
      </c>
      <c r="G949" s="34" t="s">
        <v>40</v>
      </c>
      <c r="H949" s="34" t="str">
        <f>IF(LEFT('PL1(Full)'!$F949,4)="Thôn","Thôn","Tổ")</f>
        <v>Tổ</v>
      </c>
      <c r="I949" s="36">
        <v>84</v>
      </c>
      <c r="J949" s="36">
        <v>346</v>
      </c>
      <c r="K949" s="36">
        <v>53</v>
      </c>
      <c r="L949" s="37">
        <f t="shared" si="0"/>
        <v>63.095238095238095</v>
      </c>
      <c r="M949" s="36">
        <v>3</v>
      </c>
      <c r="N949" s="38">
        <f t="shared" si="1"/>
        <v>3.5714285714285716</v>
      </c>
      <c r="O949" s="36">
        <v>1</v>
      </c>
      <c r="P949" s="38">
        <f t="shared" si="2"/>
        <v>33.333333333333336</v>
      </c>
      <c r="Q949" s="39" t="s">
        <v>63</v>
      </c>
      <c r="R949" s="39" t="str">
        <f t="shared" si="3"/>
        <v>X</v>
      </c>
      <c r="S949" s="34"/>
      <c r="T949" s="34" t="str">
        <f>IF('PL1(Full)'!$N949&gt;=20,"x",IF(AND('PL1(Full)'!$N949&gt;=15,'PL1(Full)'!$P949&gt;60),"x",""))</f>
        <v/>
      </c>
      <c r="U949" s="34" t="str">
        <f>IF(AND('PL1(Full)'!$H949="Thôn",'PL1(Full)'!$I949&lt;75),"x",IF(AND('PL1(Full)'!$H949="Tổ",'PL1(Full)'!$I949&lt;100),"x","-"))</f>
        <v>x</v>
      </c>
      <c r="V949" s="34" t="str">
        <f>IF(AND('PL1(Full)'!$H949="Thôn",'PL1(Full)'!$I949&lt;140),"x",IF(AND('PL1(Full)'!$H949="Tổ",'PL1(Full)'!$I949&lt;210),"x","-"))</f>
        <v>x</v>
      </c>
      <c r="W949" s="40" t="str">
        <f t="shared" si="165"/>
        <v>Loại 3</v>
      </c>
      <c r="X949" s="34"/>
    </row>
    <row r="950" spans="1:24" ht="15.75" customHeight="1">
      <c r="A950" s="30">
        <f>_xlfn.AGGREGATE(4,7,A$6:A949)+1</f>
        <v>710</v>
      </c>
      <c r="B950" s="31" t="str">
        <f t="shared" si="173"/>
        <v>H. Ngân Sơn</v>
      </c>
      <c r="C950" s="31" t="str">
        <f t="shared" si="174"/>
        <v>TT. Nà Phặc</v>
      </c>
      <c r="D950" s="34"/>
      <c r="E950" s="34" t="s">
        <v>58</v>
      </c>
      <c r="F950" s="31" t="s">
        <v>1027</v>
      </c>
      <c r="G950" s="34"/>
      <c r="H950" s="34" t="str">
        <f>IF(LEFT('PL1(Full)'!$F950,4)="Thôn","Thôn","Tổ")</f>
        <v>Tổ</v>
      </c>
      <c r="I950" s="36">
        <v>50</v>
      </c>
      <c r="J950" s="35">
        <v>200</v>
      </c>
      <c r="K950" s="35">
        <v>49</v>
      </c>
      <c r="L950" s="37">
        <f t="shared" si="0"/>
        <v>98</v>
      </c>
      <c r="M950" s="36">
        <v>34</v>
      </c>
      <c r="N950" s="38">
        <f t="shared" si="1"/>
        <v>68</v>
      </c>
      <c r="O950" s="36">
        <v>34</v>
      </c>
      <c r="P950" s="38">
        <f t="shared" si="2"/>
        <v>100</v>
      </c>
      <c r="Q950" s="39" t="s">
        <v>300</v>
      </c>
      <c r="R950" s="39" t="str">
        <f t="shared" si="3"/>
        <v>T</v>
      </c>
      <c r="S950" s="34" t="s">
        <v>60</v>
      </c>
      <c r="T950" s="34" t="str">
        <f>IF('PL1(Full)'!$N950&gt;=20,"x",IF(AND('PL1(Full)'!$N950&gt;=15,'PL1(Full)'!$P950&gt;60),"x",""))</f>
        <v>x</v>
      </c>
      <c r="U950" s="34" t="str">
        <f>IF(AND('PL1(Full)'!$H950="Thôn",'PL1(Full)'!$I950&lt;75),"x",IF(AND('PL1(Full)'!$H950="Tổ",'PL1(Full)'!$I950&lt;100),"x","-"))</f>
        <v>x</v>
      </c>
      <c r="V950" s="34" t="str">
        <f>IF(AND('PL1(Full)'!$H950="Thôn",'PL1(Full)'!$I950&lt;140),"x",IF(AND('PL1(Full)'!$H950="Tổ",'PL1(Full)'!$I950&lt;210),"x","-"))</f>
        <v>x</v>
      </c>
      <c r="W950" s="40" t="str">
        <f t="shared" si="165"/>
        <v>Loại 3</v>
      </c>
      <c r="X950" s="34"/>
    </row>
    <row r="951" spans="1:24" ht="15.75" customHeight="1">
      <c r="A951" s="30">
        <f>_xlfn.AGGREGATE(4,7,A$6:A950)+1</f>
        <v>711</v>
      </c>
      <c r="B951" s="31" t="str">
        <f t="shared" si="173"/>
        <v>H. Ngân Sơn</v>
      </c>
      <c r="C951" s="31" t="str">
        <f t="shared" si="174"/>
        <v>TT. Nà Phặc</v>
      </c>
      <c r="D951" s="34"/>
      <c r="E951" s="34" t="s">
        <v>58</v>
      </c>
      <c r="F951" s="31" t="s">
        <v>1028</v>
      </c>
      <c r="G951" s="34"/>
      <c r="H951" s="34" t="str">
        <f>IF(LEFT('PL1(Full)'!$F951,4)="Thôn","Thôn","Tổ")</f>
        <v>Tổ</v>
      </c>
      <c r="I951" s="36">
        <v>94</v>
      </c>
      <c r="J951" s="36">
        <v>418</v>
      </c>
      <c r="K951" s="36">
        <v>85</v>
      </c>
      <c r="L951" s="37">
        <f t="shared" si="0"/>
        <v>90.425531914893611</v>
      </c>
      <c r="M951" s="36">
        <v>20</v>
      </c>
      <c r="N951" s="38">
        <f t="shared" si="1"/>
        <v>21.276595744680851</v>
      </c>
      <c r="O951" s="36">
        <v>18</v>
      </c>
      <c r="P951" s="38">
        <f t="shared" si="2"/>
        <v>90</v>
      </c>
      <c r="Q951" s="39" t="s">
        <v>117</v>
      </c>
      <c r="R951" s="39" t="str">
        <f t="shared" si="3"/>
        <v>T</v>
      </c>
      <c r="S951" s="34" t="s">
        <v>60</v>
      </c>
      <c r="T951" s="34" t="str">
        <f>IF('PL1(Full)'!$N951&gt;=20,"x",IF(AND('PL1(Full)'!$N951&gt;=15,'PL1(Full)'!$P951&gt;60),"x",""))</f>
        <v>x</v>
      </c>
      <c r="U951" s="34" t="str">
        <f>IF(AND('PL1(Full)'!$H951="Thôn",'PL1(Full)'!$I951&lt;75),"x",IF(AND('PL1(Full)'!$H951="Tổ",'PL1(Full)'!$I951&lt;100),"x","-"))</f>
        <v>x</v>
      </c>
      <c r="V951" s="34" t="str">
        <f>IF(AND('PL1(Full)'!$H951="Thôn",'PL1(Full)'!$I951&lt;140),"x",IF(AND('PL1(Full)'!$H951="Tổ",'PL1(Full)'!$I951&lt;210),"x","-"))</f>
        <v>x</v>
      </c>
      <c r="W951" s="40" t="str">
        <f t="shared" si="165"/>
        <v>Loại 3</v>
      </c>
      <c r="X951" s="34"/>
    </row>
    <row r="952" spans="1:24" ht="15.75" customHeight="1">
      <c r="A952" s="30">
        <f>_xlfn.AGGREGATE(4,7,A$6:A951)+1</f>
        <v>712</v>
      </c>
      <c r="B952" s="31" t="str">
        <f t="shared" si="173"/>
        <v>H. Ngân Sơn</v>
      </c>
      <c r="C952" s="31" t="str">
        <f t="shared" si="174"/>
        <v>TT. Nà Phặc</v>
      </c>
      <c r="D952" s="34"/>
      <c r="E952" s="34" t="s">
        <v>58</v>
      </c>
      <c r="F952" s="31" t="s">
        <v>1029</v>
      </c>
      <c r="G952" s="34"/>
      <c r="H952" s="34" t="str">
        <f>IF(LEFT('PL1(Full)'!$F952,4)="Thôn","Thôn","Tổ")</f>
        <v>Tổ</v>
      </c>
      <c r="I952" s="36">
        <v>21</v>
      </c>
      <c r="J952" s="35">
        <v>111</v>
      </c>
      <c r="K952" s="35">
        <v>21</v>
      </c>
      <c r="L952" s="37">
        <f t="shared" si="0"/>
        <v>100</v>
      </c>
      <c r="M952" s="36">
        <v>21</v>
      </c>
      <c r="N952" s="38">
        <f t="shared" si="1"/>
        <v>100</v>
      </c>
      <c r="O952" s="36">
        <v>21</v>
      </c>
      <c r="P952" s="38">
        <f t="shared" si="2"/>
        <v>100</v>
      </c>
      <c r="Q952" s="39" t="s">
        <v>63</v>
      </c>
      <c r="R952" s="39" t="str">
        <f t="shared" si="3"/>
        <v>X</v>
      </c>
      <c r="S952" s="34" t="s">
        <v>60</v>
      </c>
      <c r="T952" s="34" t="str">
        <f>IF('PL1(Full)'!$N952&gt;=20,"x",IF(AND('PL1(Full)'!$N952&gt;=15,'PL1(Full)'!$P952&gt;60),"x",""))</f>
        <v>x</v>
      </c>
      <c r="U952" s="34" t="str">
        <f>IF(AND('PL1(Full)'!$H952="Thôn",'PL1(Full)'!$I952&lt;75),"x",IF(AND('PL1(Full)'!$H952="Tổ",'PL1(Full)'!$I952&lt;100),"x","-"))</f>
        <v>x</v>
      </c>
      <c r="V952" s="34" t="str">
        <f>IF(AND('PL1(Full)'!$H952="Thôn",'PL1(Full)'!$I952&lt;140),"x",IF(AND('PL1(Full)'!$H952="Tổ",'PL1(Full)'!$I952&lt;210),"x","-"))</f>
        <v>x</v>
      </c>
      <c r="W952" s="40" t="str">
        <f t="shared" si="165"/>
        <v>Loại 3</v>
      </c>
      <c r="X952" s="34"/>
    </row>
    <row r="953" spans="1:24" ht="15.75" customHeight="1">
      <c r="A953" s="30">
        <f>_xlfn.AGGREGATE(4,7,A$6:A952)+1</f>
        <v>713</v>
      </c>
      <c r="B953" s="31" t="str">
        <f t="shared" si="173"/>
        <v>H. Ngân Sơn</v>
      </c>
      <c r="C953" s="31" t="str">
        <f t="shared" si="174"/>
        <v>TT. Nà Phặc</v>
      </c>
      <c r="D953" s="34"/>
      <c r="E953" s="34" t="s">
        <v>58</v>
      </c>
      <c r="F953" s="31" t="s">
        <v>1030</v>
      </c>
      <c r="G953" s="34"/>
      <c r="H953" s="34" t="str">
        <f>IF(LEFT('PL1(Full)'!$F953,4)="Thôn","Thôn","Tổ")</f>
        <v>Tổ</v>
      </c>
      <c r="I953" s="36">
        <v>44</v>
      </c>
      <c r="J953" s="35">
        <v>214</v>
      </c>
      <c r="K953" s="35">
        <v>44</v>
      </c>
      <c r="L953" s="37">
        <f t="shared" si="0"/>
        <v>100</v>
      </c>
      <c r="M953" s="36">
        <v>35</v>
      </c>
      <c r="N953" s="38">
        <f t="shared" si="1"/>
        <v>79.545454545454547</v>
      </c>
      <c r="O953" s="36">
        <v>35</v>
      </c>
      <c r="P953" s="38">
        <f t="shared" si="2"/>
        <v>100</v>
      </c>
      <c r="Q953" s="39" t="s">
        <v>63</v>
      </c>
      <c r="R953" s="39" t="str">
        <f t="shared" si="3"/>
        <v>X</v>
      </c>
      <c r="S953" s="34" t="s">
        <v>60</v>
      </c>
      <c r="T953" s="34" t="str">
        <f>IF('PL1(Full)'!$N953&gt;=20,"x",IF(AND('PL1(Full)'!$N953&gt;=15,'PL1(Full)'!$P953&gt;60),"x",""))</f>
        <v>x</v>
      </c>
      <c r="U953" s="34" t="str">
        <f>IF(AND('PL1(Full)'!$H953="Thôn",'PL1(Full)'!$I953&lt;75),"x",IF(AND('PL1(Full)'!$H953="Tổ",'PL1(Full)'!$I953&lt;100),"x","-"))</f>
        <v>x</v>
      </c>
      <c r="V953" s="34" t="str">
        <f>IF(AND('PL1(Full)'!$H953="Thôn",'PL1(Full)'!$I953&lt;140),"x",IF(AND('PL1(Full)'!$H953="Tổ",'PL1(Full)'!$I953&lt;210),"x","-"))</f>
        <v>x</v>
      </c>
      <c r="W953" s="40" t="str">
        <f t="shared" si="165"/>
        <v>Loại 3</v>
      </c>
      <c r="X953" s="34"/>
    </row>
    <row r="954" spans="1:24" ht="15.75" hidden="1" customHeight="1">
      <c r="A954" s="30">
        <f>_xlfn.AGGREGATE(4,7,A$6:A953)+1</f>
        <v>714</v>
      </c>
      <c r="B954" s="31" t="str">
        <f t="shared" si="173"/>
        <v>H. Ngân Sơn</v>
      </c>
      <c r="C954" s="31" t="str">
        <f t="shared" si="174"/>
        <v>TT. Nà Phặc</v>
      </c>
      <c r="D954" s="34"/>
      <c r="E954" s="34" t="s">
        <v>58</v>
      </c>
      <c r="F954" s="31" t="s">
        <v>39</v>
      </c>
      <c r="G954" s="34"/>
      <c r="H954" s="34" t="str">
        <f>IF(LEFT('PL1(Full)'!$F954,4)="Thôn","Thôn","Tổ")</f>
        <v>Tổ</v>
      </c>
      <c r="I954" s="36">
        <v>153</v>
      </c>
      <c r="J954" s="35">
        <v>583</v>
      </c>
      <c r="K954" s="35">
        <v>113</v>
      </c>
      <c r="L954" s="37">
        <f t="shared" si="0"/>
        <v>73.856209150326791</v>
      </c>
      <c r="M954" s="36">
        <v>48</v>
      </c>
      <c r="N954" s="38">
        <f t="shared" si="1"/>
        <v>31.372549019607842</v>
      </c>
      <c r="O954" s="36">
        <v>43</v>
      </c>
      <c r="P954" s="38">
        <f t="shared" si="2"/>
        <v>89.583333333333329</v>
      </c>
      <c r="Q954" s="39" t="s">
        <v>47</v>
      </c>
      <c r="R954" s="39" t="str">
        <f t="shared" si="3"/>
        <v>X</v>
      </c>
      <c r="S954" s="34" t="s">
        <v>60</v>
      </c>
      <c r="T954" s="34" t="str">
        <f>IF('PL1(Full)'!$N954&gt;=20,"x",IF(AND('PL1(Full)'!$N954&gt;=15,'PL1(Full)'!$P954&gt;60),"x",""))</f>
        <v>x</v>
      </c>
      <c r="U954" s="34" t="str">
        <f>IF(AND('PL1(Full)'!$H954="Thôn",'PL1(Full)'!$I954&lt;75),"x",IF(AND('PL1(Full)'!$H954="Tổ",'PL1(Full)'!$I954&lt;100),"x","-"))</f>
        <v>-</v>
      </c>
      <c r="V954" s="34" t="str">
        <f>IF(AND('PL1(Full)'!$H954="Thôn",'PL1(Full)'!$I954&lt;140),"x",IF(AND('PL1(Full)'!$H954="Tổ",'PL1(Full)'!$I954&lt;210),"x","-"))</f>
        <v>x</v>
      </c>
      <c r="W954" s="40" t="str">
        <f t="shared" si="165"/>
        <v>Loại 2</v>
      </c>
      <c r="X954" s="34"/>
    </row>
    <row r="955" spans="1:24" ht="15.75" hidden="1" customHeight="1">
      <c r="A955" s="30">
        <f>_xlfn.AGGREGATE(4,7,A$6:A954)+1</f>
        <v>714</v>
      </c>
      <c r="B955" s="31" t="str">
        <f t="shared" si="173"/>
        <v>H. Ngân Sơn</v>
      </c>
      <c r="C955" s="31" t="str">
        <f t="shared" si="174"/>
        <v>TT. Nà Phặc</v>
      </c>
      <c r="D955" s="34"/>
      <c r="E955" s="34" t="s">
        <v>58</v>
      </c>
      <c r="F955" s="31" t="s">
        <v>42</v>
      </c>
      <c r="G955" s="34"/>
      <c r="H955" s="34" t="str">
        <f>IF(LEFT('PL1(Full)'!$F955,4)="Thôn","Thôn","Tổ")</f>
        <v>Tổ</v>
      </c>
      <c r="I955" s="36">
        <v>135</v>
      </c>
      <c r="J955" s="35">
        <v>502</v>
      </c>
      <c r="K955" s="35">
        <v>86</v>
      </c>
      <c r="L955" s="37">
        <f t="shared" si="0"/>
        <v>63.703703703703702</v>
      </c>
      <c r="M955" s="36">
        <v>13</v>
      </c>
      <c r="N955" s="38">
        <f t="shared" si="1"/>
        <v>9.6296296296296298</v>
      </c>
      <c r="O955" s="36">
        <v>9</v>
      </c>
      <c r="P955" s="38">
        <f t="shared" si="2"/>
        <v>69.230769230769226</v>
      </c>
      <c r="Q955" s="39" t="s">
        <v>63</v>
      </c>
      <c r="R955" s="39" t="str">
        <f t="shared" si="3"/>
        <v>X</v>
      </c>
      <c r="S955" s="34"/>
      <c r="T955" s="34" t="str">
        <f>IF('PL1(Full)'!$N955&gt;=20,"x",IF(AND('PL1(Full)'!$N955&gt;=15,'PL1(Full)'!$P955&gt;60),"x",""))</f>
        <v/>
      </c>
      <c r="U955" s="34" t="str">
        <f>IF(AND('PL1(Full)'!$H955="Thôn",'PL1(Full)'!$I955&lt;75),"x",IF(AND('PL1(Full)'!$H955="Tổ",'PL1(Full)'!$I955&lt;100),"x","-"))</f>
        <v>-</v>
      </c>
      <c r="V955" s="34" t="str">
        <f>IF(AND('PL1(Full)'!$H955="Thôn",'PL1(Full)'!$I955&lt;140),"x",IF(AND('PL1(Full)'!$H955="Tổ",'PL1(Full)'!$I955&lt;210),"x","-"))</f>
        <v>x</v>
      </c>
      <c r="W955" s="40" t="str">
        <f t="shared" si="165"/>
        <v>Loại 3</v>
      </c>
      <c r="X955" s="34"/>
    </row>
    <row r="956" spans="1:24" ht="15.75" hidden="1" customHeight="1">
      <c r="A956" s="41">
        <f>_xlfn.AGGREGATE(4,7,A$6:A955)+1</f>
        <v>714</v>
      </c>
      <c r="B956" s="42" t="str">
        <f t="shared" si="173"/>
        <v>H. Ngân Sơn</v>
      </c>
      <c r="C956" s="42" t="str">
        <f t="shared" si="174"/>
        <v>TT. Nà Phặc</v>
      </c>
      <c r="D956" s="50"/>
      <c r="E956" s="50" t="s">
        <v>58</v>
      </c>
      <c r="F956" s="42" t="s">
        <v>44</v>
      </c>
      <c r="G956" s="50"/>
      <c r="H956" s="50" t="str">
        <f>IF(LEFT('PL1(Full)'!$F956,4)="Thôn","Thôn","Tổ")</f>
        <v>Tổ</v>
      </c>
      <c r="I956" s="46">
        <v>107</v>
      </c>
      <c r="J956" s="45">
        <v>468</v>
      </c>
      <c r="K956" s="45">
        <v>87</v>
      </c>
      <c r="L956" s="47">
        <f t="shared" si="0"/>
        <v>81.308411214953267</v>
      </c>
      <c r="M956" s="46">
        <v>19</v>
      </c>
      <c r="N956" s="48">
        <f t="shared" si="1"/>
        <v>17.757009345794394</v>
      </c>
      <c r="O956" s="46">
        <v>14</v>
      </c>
      <c r="P956" s="48">
        <f t="shared" si="2"/>
        <v>73.684210526315795</v>
      </c>
      <c r="Q956" s="49" t="s">
        <v>49</v>
      </c>
      <c r="R956" s="49" t="str">
        <f t="shared" si="3"/>
        <v>X</v>
      </c>
      <c r="S956" s="50"/>
      <c r="T956" s="50" t="str">
        <f>IF('PL1(Full)'!$N956&gt;=20,"x",IF(AND('PL1(Full)'!$N956&gt;=15,'PL1(Full)'!$P956&gt;60),"x",""))</f>
        <v>x</v>
      </c>
      <c r="U956" s="50" t="str">
        <f>IF(AND('PL1(Full)'!$H956="Thôn",'PL1(Full)'!$I956&lt;75),"x",IF(AND('PL1(Full)'!$H956="Tổ",'PL1(Full)'!$I956&lt;100),"x","-"))</f>
        <v>-</v>
      </c>
      <c r="V956" s="34" t="str">
        <f>IF(AND('PL1(Full)'!$H956="Thôn",'PL1(Full)'!$I956&lt;140),"x",IF(AND('PL1(Full)'!$H956="Tổ",'PL1(Full)'!$I956&lt;210),"x","-"))</f>
        <v>x</v>
      </c>
      <c r="W956" s="51" t="str">
        <f t="shared" si="165"/>
        <v>Loại 3</v>
      </c>
      <c r="X956" s="50"/>
    </row>
    <row r="957" spans="1:24" ht="15.75" customHeight="1">
      <c r="A957" s="52">
        <f>_xlfn.AGGREGATE(4,7,A$6:A956)+1</f>
        <v>714</v>
      </c>
      <c r="B957" s="14" t="str">
        <f t="shared" si="173"/>
        <v>H. Ngân Sơn</v>
      </c>
      <c r="C957" s="14" t="s">
        <v>1031</v>
      </c>
      <c r="D957" s="25" t="s">
        <v>58</v>
      </c>
      <c r="E957" s="25" t="s">
        <v>58</v>
      </c>
      <c r="F957" s="14" t="s">
        <v>1032</v>
      </c>
      <c r="G957" s="25"/>
      <c r="H957" s="25" t="str">
        <f>IF(LEFT('PL1(Full)'!$F957,4)="Thôn","Thôn","Tổ")</f>
        <v>Thôn</v>
      </c>
      <c r="I957" s="20">
        <v>73</v>
      </c>
      <c r="J957" s="20">
        <v>309</v>
      </c>
      <c r="K957" s="20">
        <v>73</v>
      </c>
      <c r="L957" s="21">
        <f t="shared" si="0"/>
        <v>100</v>
      </c>
      <c r="M957" s="20">
        <v>6</v>
      </c>
      <c r="N957" s="22">
        <f t="shared" si="1"/>
        <v>8.2191780821917817</v>
      </c>
      <c r="O957" s="20">
        <v>6</v>
      </c>
      <c r="P957" s="22">
        <f t="shared" si="2"/>
        <v>100</v>
      </c>
      <c r="Q957" s="23" t="s">
        <v>49</v>
      </c>
      <c r="R957" s="24" t="str">
        <f t="shared" si="3"/>
        <v>X</v>
      </c>
      <c r="S957" s="25"/>
      <c r="T957" s="26" t="str">
        <f>IF('PL1(Full)'!$N957&gt;=20,"x",IF(AND('PL1(Full)'!$N957&gt;=15,'PL1(Full)'!$P957&gt;60),"x",""))</f>
        <v/>
      </c>
      <c r="U957" s="27" t="str">
        <f>IF(AND('PL1(Full)'!$H957="Thôn",'PL1(Full)'!$I957&lt;75),"x",IF(AND('PL1(Full)'!$H957="Tổ",'PL1(Full)'!$I957&lt;100),"x","-"))</f>
        <v>x</v>
      </c>
      <c r="V957" s="28" t="str">
        <f>IF(AND('PL1(Full)'!$H957="Thôn",'PL1(Full)'!$I957&lt;140),"x",IF(AND('PL1(Full)'!$H957="Tổ",'PL1(Full)'!$I957&lt;210),"x","-"))</f>
        <v>x</v>
      </c>
      <c r="W957" s="29" t="str">
        <f t="shared" ref="W957:W1181" si="175">IF(I957&gt;=150,"Loại 1",IF(I957&gt;=100,"Loại 2","Loại 3"))</f>
        <v>Loại 3</v>
      </c>
      <c r="X957" s="25"/>
    </row>
    <row r="958" spans="1:24" ht="15.75" customHeight="1">
      <c r="A958" s="30">
        <f>_xlfn.AGGREGATE(4,7,A$6:A957)+1</f>
        <v>715</v>
      </c>
      <c r="B958" s="31" t="str">
        <f t="shared" si="173"/>
        <v>H. Ngân Sơn</v>
      </c>
      <c r="C958" s="31" t="str">
        <f t="shared" ref="C958:C970" si="176">C957</f>
        <v>X. Bằng Vân</v>
      </c>
      <c r="D958" s="34"/>
      <c r="E958" s="34" t="s">
        <v>58</v>
      </c>
      <c r="F958" s="31" t="s">
        <v>1033</v>
      </c>
      <c r="G958" s="34"/>
      <c r="H958" s="34" t="str">
        <f>IF(LEFT('PL1(Full)'!$F958,4)="Thôn","Thôn","Tổ")</f>
        <v>Thôn</v>
      </c>
      <c r="I958" s="36">
        <v>33</v>
      </c>
      <c r="J958" s="36">
        <v>167</v>
      </c>
      <c r="K958" s="36">
        <v>31</v>
      </c>
      <c r="L958" s="37">
        <f t="shared" si="0"/>
        <v>93.939393939393938</v>
      </c>
      <c r="M958" s="36">
        <v>10</v>
      </c>
      <c r="N958" s="38">
        <f t="shared" si="1"/>
        <v>30.303030303030305</v>
      </c>
      <c r="O958" s="36">
        <v>9</v>
      </c>
      <c r="P958" s="38">
        <f t="shared" si="2"/>
        <v>90</v>
      </c>
      <c r="Q958" s="39" t="s">
        <v>63</v>
      </c>
      <c r="R958" s="39" t="str">
        <f t="shared" si="3"/>
        <v>X</v>
      </c>
      <c r="S958" s="34"/>
      <c r="T958" s="34" t="str">
        <f>IF('PL1(Full)'!$N958&gt;=20,"x",IF(AND('PL1(Full)'!$N958&gt;=15,'PL1(Full)'!$P958&gt;60),"x",""))</f>
        <v>x</v>
      </c>
      <c r="U958" s="34" t="str">
        <f>IF(AND('PL1(Full)'!$H958="Thôn",'PL1(Full)'!$I958&lt;75),"x",IF(AND('PL1(Full)'!$H958="Tổ",'PL1(Full)'!$I958&lt;100),"x","-"))</f>
        <v>x</v>
      </c>
      <c r="V958" s="34" t="str">
        <f>IF(AND('PL1(Full)'!$H958="Thôn",'PL1(Full)'!$I958&lt;140),"x",IF(AND('PL1(Full)'!$H958="Tổ",'PL1(Full)'!$I958&lt;210),"x","-"))</f>
        <v>x</v>
      </c>
      <c r="W958" s="40" t="str">
        <f t="shared" si="175"/>
        <v>Loại 3</v>
      </c>
      <c r="X958" s="34"/>
    </row>
    <row r="959" spans="1:24" ht="15.75" customHeight="1">
      <c r="A959" s="30">
        <f>_xlfn.AGGREGATE(4,7,A$6:A958)+1</f>
        <v>716</v>
      </c>
      <c r="B959" s="31" t="str">
        <f t="shared" si="173"/>
        <v>H. Ngân Sơn</v>
      </c>
      <c r="C959" s="31" t="str">
        <f t="shared" si="176"/>
        <v>X. Bằng Vân</v>
      </c>
      <c r="D959" s="34"/>
      <c r="E959" s="34" t="s">
        <v>58</v>
      </c>
      <c r="F959" s="31" t="s">
        <v>1034</v>
      </c>
      <c r="G959" s="34"/>
      <c r="H959" s="34" t="str">
        <f>IF(LEFT('PL1(Full)'!$F959,4)="Thôn","Thôn","Tổ")</f>
        <v>Thôn</v>
      </c>
      <c r="I959" s="36">
        <v>30</v>
      </c>
      <c r="J959" s="36">
        <v>141</v>
      </c>
      <c r="K959" s="36">
        <v>30</v>
      </c>
      <c r="L959" s="37">
        <f t="shared" si="0"/>
        <v>100</v>
      </c>
      <c r="M959" s="36">
        <v>29</v>
      </c>
      <c r="N959" s="38">
        <f t="shared" si="1"/>
        <v>96.666666666666671</v>
      </c>
      <c r="O959" s="36">
        <v>29</v>
      </c>
      <c r="P959" s="38">
        <f t="shared" si="2"/>
        <v>100</v>
      </c>
      <c r="Q959" s="39" t="s">
        <v>63</v>
      </c>
      <c r="R959" s="39" t="str">
        <f t="shared" si="3"/>
        <v>X</v>
      </c>
      <c r="S959" s="34" t="s">
        <v>60</v>
      </c>
      <c r="T959" s="34" t="str">
        <f>IF('PL1(Full)'!$N959&gt;=20,"x",IF(AND('PL1(Full)'!$N959&gt;=15,'PL1(Full)'!$P959&gt;60),"x",""))</f>
        <v>x</v>
      </c>
      <c r="U959" s="34" t="str">
        <f>IF(AND('PL1(Full)'!$H959="Thôn",'PL1(Full)'!$I959&lt;75),"x",IF(AND('PL1(Full)'!$H959="Tổ",'PL1(Full)'!$I959&lt;100),"x","-"))</f>
        <v>x</v>
      </c>
      <c r="V959" s="34" t="str">
        <f>IF(AND('PL1(Full)'!$H959="Thôn",'PL1(Full)'!$I959&lt;140),"x",IF(AND('PL1(Full)'!$H959="Tổ",'PL1(Full)'!$I959&lt;210),"x","-"))</f>
        <v>x</v>
      </c>
      <c r="W959" s="40" t="str">
        <f t="shared" si="175"/>
        <v>Loại 3</v>
      </c>
      <c r="X959" s="34"/>
    </row>
    <row r="960" spans="1:24" ht="15.75" customHeight="1">
      <c r="A960" s="30">
        <f>_xlfn.AGGREGATE(4,7,A$6:A959)+1</f>
        <v>717</v>
      </c>
      <c r="B960" s="31" t="str">
        <f t="shared" si="173"/>
        <v>H. Ngân Sơn</v>
      </c>
      <c r="C960" s="31" t="str">
        <f t="shared" si="176"/>
        <v>X. Bằng Vân</v>
      </c>
      <c r="D960" s="34"/>
      <c r="E960" s="34" t="s">
        <v>58</v>
      </c>
      <c r="F960" s="31" t="s">
        <v>1035</v>
      </c>
      <c r="G960" s="34"/>
      <c r="H960" s="34" t="str">
        <f>IF(LEFT('PL1(Full)'!$F960,4)="Thôn","Thôn","Tổ")</f>
        <v>Thôn</v>
      </c>
      <c r="I960" s="36">
        <v>31</v>
      </c>
      <c r="J960" s="36">
        <v>110</v>
      </c>
      <c r="K960" s="36">
        <v>31</v>
      </c>
      <c r="L960" s="37">
        <f t="shared" si="0"/>
        <v>100</v>
      </c>
      <c r="M960" s="36">
        <v>19</v>
      </c>
      <c r="N960" s="38">
        <f t="shared" si="1"/>
        <v>61.29032258064516</v>
      </c>
      <c r="O960" s="36">
        <v>19</v>
      </c>
      <c r="P960" s="38">
        <f t="shared" si="2"/>
        <v>100</v>
      </c>
      <c r="Q960" s="39" t="s">
        <v>63</v>
      </c>
      <c r="R960" s="39" t="str">
        <f t="shared" si="3"/>
        <v>X</v>
      </c>
      <c r="S960" s="34" t="s">
        <v>60</v>
      </c>
      <c r="T960" s="34" t="str">
        <f>IF('PL1(Full)'!$N960&gt;=20,"x",IF(AND('PL1(Full)'!$N960&gt;=15,'PL1(Full)'!$P960&gt;60),"x",""))</f>
        <v>x</v>
      </c>
      <c r="U960" s="34" t="str">
        <f>IF(AND('PL1(Full)'!$H960="Thôn",'PL1(Full)'!$I960&lt;75),"x",IF(AND('PL1(Full)'!$H960="Tổ",'PL1(Full)'!$I960&lt;100),"x","-"))</f>
        <v>x</v>
      </c>
      <c r="V960" s="34" t="str">
        <f>IF(AND('PL1(Full)'!$H960="Thôn",'PL1(Full)'!$I960&lt;140),"x",IF(AND('PL1(Full)'!$H960="Tổ",'PL1(Full)'!$I960&lt;210),"x","-"))</f>
        <v>x</v>
      </c>
      <c r="W960" s="40" t="str">
        <f t="shared" si="175"/>
        <v>Loại 3</v>
      </c>
      <c r="X960" s="34"/>
    </row>
    <row r="961" spans="1:24" ht="15.75" customHeight="1">
      <c r="A961" s="30">
        <f>_xlfn.AGGREGATE(4,7,A$6:A960)+1</f>
        <v>718</v>
      </c>
      <c r="B961" s="31" t="str">
        <f t="shared" si="173"/>
        <v>H. Ngân Sơn</v>
      </c>
      <c r="C961" s="31" t="str">
        <f t="shared" si="176"/>
        <v>X. Bằng Vân</v>
      </c>
      <c r="D961" s="34"/>
      <c r="E961" s="34" t="s">
        <v>58</v>
      </c>
      <c r="F961" s="31" t="s">
        <v>1036</v>
      </c>
      <c r="G961" s="34"/>
      <c r="H961" s="34" t="str">
        <f>IF(LEFT('PL1(Full)'!$F961,4)="Thôn","Thôn","Tổ")</f>
        <v>Thôn</v>
      </c>
      <c r="I961" s="36">
        <v>29</v>
      </c>
      <c r="J961" s="36">
        <v>120</v>
      </c>
      <c r="K961" s="36">
        <v>29</v>
      </c>
      <c r="L961" s="37">
        <f t="shared" si="0"/>
        <v>100</v>
      </c>
      <c r="M961" s="36">
        <v>23</v>
      </c>
      <c r="N961" s="38">
        <f t="shared" si="1"/>
        <v>79.310344827586206</v>
      </c>
      <c r="O961" s="36">
        <v>23</v>
      </c>
      <c r="P961" s="38">
        <f t="shared" si="2"/>
        <v>100</v>
      </c>
      <c r="Q961" s="39" t="s">
        <v>63</v>
      </c>
      <c r="R961" s="39" t="str">
        <f t="shared" si="3"/>
        <v>X</v>
      </c>
      <c r="S961" s="34" t="s">
        <v>60</v>
      </c>
      <c r="T961" s="34" t="str">
        <f>IF('PL1(Full)'!$N961&gt;=20,"x",IF(AND('PL1(Full)'!$N961&gt;=15,'PL1(Full)'!$P961&gt;60),"x",""))</f>
        <v>x</v>
      </c>
      <c r="U961" s="34" t="str">
        <f>IF(AND('PL1(Full)'!$H961="Thôn",'PL1(Full)'!$I961&lt;75),"x",IF(AND('PL1(Full)'!$H961="Tổ",'PL1(Full)'!$I961&lt;100),"x","-"))</f>
        <v>x</v>
      </c>
      <c r="V961" s="34" t="str">
        <f>IF(AND('PL1(Full)'!$H961="Thôn",'PL1(Full)'!$I961&lt;140),"x",IF(AND('PL1(Full)'!$H961="Tổ",'PL1(Full)'!$I961&lt;210),"x","-"))</f>
        <v>x</v>
      </c>
      <c r="W961" s="40" t="str">
        <f t="shared" si="175"/>
        <v>Loại 3</v>
      </c>
      <c r="X961" s="34"/>
    </row>
    <row r="962" spans="1:24" ht="15.75" customHeight="1">
      <c r="A962" s="30">
        <f>_xlfn.AGGREGATE(4,7,A$6:A961)+1</f>
        <v>719</v>
      </c>
      <c r="B962" s="31" t="str">
        <f t="shared" si="173"/>
        <v>H. Ngân Sơn</v>
      </c>
      <c r="C962" s="31" t="str">
        <f t="shared" si="176"/>
        <v>X. Bằng Vân</v>
      </c>
      <c r="D962" s="34"/>
      <c r="E962" s="34" t="s">
        <v>58</v>
      </c>
      <c r="F962" s="31" t="s">
        <v>1037</v>
      </c>
      <c r="G962" s="34"/>
      <c r="H962" s="34" t="str">
        <f>IF(LEFT('PL1(Full)'!$F962,4)="Thôn","Thôn","Tổ")</f>
        <v>Thôn</v>
      </c>
      <c r="I962" s="36">
        <v>64</v>
      </c>
      <c r="J962" s="36">
        <v>286</v>
      </c>
      <c r="K962" s="36">
        <v>64</v>
      </c>
      <c r="L962" s="37">
        <f t="shared" si="0"/>
        <v>100</v>
      </c>
      <c r="M962" s="36">
        <v>7</v>
      </c>
      <c r="N962" s="38">
        <f t="shared" si="1"/>
        <v>10.9375</v>
      </c>
      <c r="O962" s="36">
        <v>7</v>
      </c>
      <c r="P962" s="38">
        <f t="shared" si="2"/>
        <v>100</v>
      </c>
      <c r="Q962" s="39" t="s">
        <v>49</v>
      </c>
      <c r="R962" s="39" t="str">
        <f t="shared" si="3"/>
        <v>X</v>
      </c>
      <c r="S962" s="34" t="s">
        <v>60</v>
      </c>
      <c r="T962" s="34" t="str">
        <f>IF('PL1(Full)'!$N962&gt;=20,"x",IF(AND('PL1(Full)'!$N962&gt;=15,'PL1(Full)'!$P962&gt;60),"x",""))</f>
        <v/>
      </c>
      <c r="U962" s="34" t="str">
        <f>IF(AND('PL1(Full)'!$H962="Thôn",'PL1(Full)'!$I962&lt;75),"x",IF(AND('PL1(Full)'!$H962="Tổ",'PL1(Full)'!$I962&lt;100),"x","-"))</f>
        <v>x</v>
      </c>
      <c r="V962" s="34" t="str">
        <f>IF(AND('PL1(Full)'!$H962="Thôn",'PL1(Full)'!$I962&lt;140),"x",IF(AND('PL1(Full)'!$H962="Tổ",'PL1(Full)'!$I962&lt;210),"x","-"))</f>
        <v>x</v>
      </c>
      <c r="W962" s="40" t="str">
        <f t="shared" si="175"/>
        <v>Loại 3</v>
      </c>
      <c r="X962" s="34"/>
    </row>
    <row r="963" spans="1:24" ht="15.75" customHeight="1">
      <c r="A963" s="30">
        <f>_xlfn.AGGREGATE(4,7,A$6:A962)+1</f>
        <v>720</v>
      </c>
      <c r="B963" s="31" t="str">
        <f t="shared" si="173"/>
        <v>H. Ngân Sơn</v>
      </c>
      <c r="C963" s="31" t="str">
        <f t="shared" si="176"/>
        <v>X. Bằng Vân</v>
      </c>
      <c r="D963" s="34"/>
      <c r="E963" s="34" t="s">
        <v>58</v>
      </c>
      <c r="F963" s="31" t="s">
        <v>1038</v>
      </c>
      <c r="G963" s="34"/>
      <c r="H963" s="34" t="str">
        <f>IF(LEFT('PL1(Full)'!$F963,4)="Thôn","Thôn","Tổ")</f>
        <v>Thôn</v>
      </c>
      <c r="I963" s="36">
        <v>36</v>
      </c>
      <c r="J963" s="36">
        <v>166</v>
      </c>
      <c r="K963" s="36">
        <v>36</v>
      </c>
      <c r="L963" s="37">
        <f t="shared" si="0"/>
        <v>100</v>
      </c>
      <c r="M963" s="36">
        <v>13</v>
      </c>
      <c r="N963" s="38">
        <f t="shared" si="1"/>
        <v>36.111111111111114</v>
      </c>
      <c r="O963" s="36">
        <v>13</v>
      </c>
      <c r="P963" s="38">
        <f t="shared" si="2"/>
        <v>100</v>
      </c>
      <c r="Q963" s="39" t="s">
        <v>63</v>
      </c>
      <c r="R963" s="39" t="str">
        <f t="shared" si="3"/>
        <v>X</v>
      </c>
      <c r="S963" s="34" t="s">
        <v>60</v>
      </c>
      <c r="T963" s="34" t="str">
        <f>IF('PL1(Full)'!$N963&gt;=20,"x",IF(AND('PL1(Full)'!$N963&gt;=15,'PL1(Full)'!$P963&gt;60),"x",""))</f>
        <v>x</v>
      </c>
      <c r="U963" s="34" t="str">
        <f>IF(AND('PL1(Full)'!$H963="Thôn",'PL1(Full)'!$I963&lt;75),"x",IF(AND('PL1(Full)'!$H963="Tổ",'PL1(Full)'!$I963&lt;100),"x","-"))</f>
        <v>x</v>
      </c>
      <c r="V963" s="34" t="str">
        <f>IF(AND('PL1(Full)'!$H963="Thôn",'PL1(Full)'!$I963&lt;140),"x",IF(AND('PL1(Full)'!$H963="Tổ",'PL1(Full)'!$I963&lt;210),"x","-"))</f>
        <v>x</v>
      </c>
      <c r="W963" s="40" t="str">
        <f t="shared" si="175"/>
        <v>Loại 3</v>
      </c>
      <c r="X963" s="34"/>
    </row>
    <row r="964" spans="1:24" ht="15.75" hidden="1" customHeight="1">
      <c r="A964" s="30">
        <f>_xlfn.AGGREGATE(4,7,A$6:A963)+1</f>
        <v>721</v>
      </c>
      <c r="B964" s="31" t="str">
        <f t="shared" si="173"/>
        <v>H. Ngân Sơn</v>
      </c>
      <c r="C964" s="31" t="str">
        <f t="shared" si="176"/>
        <v>X. Bằng Vân</v>
      </c>
      <c r="D964" s="34"/>
      <c r="E964" s="34" t="s">
        <v>58</v>
      </c>
      <c r="F964" s="31" t="s">
        <v>1039</v>
      </c>
      <c r="G964" s="34"/>
      <c r="H964" s="34" t="str">
        <f>IF(LEFT('PL1(Full)'!$F964,4)="Thôn","Thôn","Tổ")</f>
        <v>Thôn</v>
      </c>
      <c r="I964" s="36">
        <v>105</v>
      </c>
      <c r="J964" s="36">
        <v>438</v>
      </c>
      <c r="K964" s="36">
        <v>104</v>
      </c>
      <c r="L964" s="37">
        <f t="shared" si="0"/>
        <v>99.047619047619051</v>
      </c>
      <c r="M964" s="36">
        <v>4</v>
      </c>
      <c r="N964" s="38">
        <f t="shared" si="1"/>
        <v>3.8095238095238093</v>
      </c>
      <c r="O964" s="36">
        <v>4</v>
      </c>
      <c r="P964" s="38">
        <f t="shared" si="2"/>
        <v>100</v>
      </c>
      <c r="Q964" s="39" t="s">
        <v>43</v>
      </c>
      <c r="R964" s="39" t="str">
        <f t="shared" si="3"/>
        <v>X</v>
      </c>
      <c r="S964" s="34"/>
      <c r="T964" s="34" t="str">
        <f>IF('PL1(Full)'!$N964&gt;=20,"x",IF(AND('PL1(Full)'!$N964&gt;=15,'PL1(Full)'!$P964&gt;60),"x",""))</f>
        <v/>
      </c>
      <c r="U964" s="34" t="str">
        <f>IF(AND('PL1(Full)'!$H964="Thôn",'PL1(Full)'!$I964&lt;75),"x",IF(AND('PL1(Full)'!$H964="Tổ",'PL1(Full)'!$I964&lt;100),"x","-"))</f>
        <v>-</v>
      </c>
      <c r="V964" s="34" t="str">
        <f>IF(AND('PL1(Full)'!$H964="Thôn",'PL1(Full)'!$I964&lt;140),"x",IF(AND('PL1(Full)'!$H964="Tổ",'PL1(Full)'!$I964&lt;210),"x","-"))</f>
        <v>x</v>
      </c>
      <c r="W964" s="40" t="str">
        <f t="shared" si="175"/>
        <v>Loại 2</v>
      </c>
      <c r="X964" s="34"/>
    </row>
    <row r="965" spans="1:24" ht="15.75" hidden="1" customHeight="1">
      <c r="A965" s="30">
        <f>_xlfn.AGGREGATE(4,7,A$6:A964)+1</f>
        <v>721</v>
      </c>
      <c r="B965" s="31" t="str">
        <f t="shared" si="173"/>
        <v>H. Ngân Sơn</v>
      </c>
      <c r="C965" s="31" t="str">
        <f t="shared" si="176"/>
        <v>X. Bằng Vân</v>
      </c>
      <c r="D965" s="34"/>
      <c r="E965" s="34" t="s">
        <v>58</v>
      </c>
      <c r="F965" s="31" t="s">
        <v>1040</v>
      </c>
      <c r="G965" s="34"/>
      <c r="H965" s="34" t="str">
        <f>IF(LEFT('PL1(Full)'!$F965,4)="Thôn","Thôn","Tổ")</f>
        <v>Thôn</v>
      </c>
      <c r="I965" s="36">
        <v>117</v>
      </c>
      <c r="J965" s="36">
        <v>524</v>
      </c>
      <c r="K965" s="36">
        <v>116</v>
      </c>
      <c r="L965" s="37">
        <f t="shared" si="0"/>
        <v>99.145299145299148</v>
      </c>
      <c r="M965" s="36">
        <v>15</v>
      </c>
      <c r="N965" s="38">
        <f t="shared" si="1"/>
        <v>12.820512820512821</v>
      </c>
      <c r="O965" s="36">
        <v>15</v>
      </c>
      <c r="P965" s="38">
        <f t="shared" si="2"/>
        <v>100</v>
      </c>
      <c r="Q965" s="39" t="s">
        <v>43</v>
      </c>
      <c r="R965" s="39" t="str">
        <f t="shared" si="3"/>
        <v>X</v>
      </c>
      <c r="S965" s="34"/>
      <c r="T965" s="34" t="str">
        <f>IF('PL1(Full)'!$N965&gt;=20,"x",IF(AND('PL1(Full)'!$N965&gt;=15,'PL1(Full)'!$P965&gt;60),"x",""))</f>
        <v/>
      </c>
      <c r="U965" s="34" t="str">
        <f>IF(AND('PL1(Full)'!$H965="Thôn",'PL1(Full)'!$I965&lt;75),"x",IF(AND('PL1(Full)'!$H965="Tổ",'PL1(Full)'!$I965&lt;100),"x","-"))</f>
        <v>-</v>
      </c>
      <c r="V965" s="34" t="str">
        <f>IF(AND('PL1(Full)'!$H965="Thôn",'PL1(Full)'!$I965&lt;140),"x",IF(AND('PL1(Full)'!$H965="Tổ",'PL1(Full)'!$I965&lt;210),"x","-"))</f>
        <v>x</v>
      </c>
      <c r="W965" s="40" t="str">
        <f t="shared" si="175"/>
        <v>Loại 2</v>
      </c>
      <c r="X965" s="34"/>
    </row>
    <row r="966" spans="1:24" ht="15.75" customHeight="1">
      <c r="A966" s="30">
        <f>_xlfn.AGGREGATE(4,7,A$6:A965)+1</f>
        <v>721</v>
      </c>
      <c r="B966" s="31" t="str">
        <f t="shared" si="173"/>
        <v>H. Ngân Sơn</v>
      </c>
      <c r="C966" s="31" t="str">
        <f t="shared" si="176"/>
        <v>X. Bằng Vân</v>
      </c>
      <c r="D966" s="34"/>
      <c r="E966" s="34" t="s">
        <v>58</v>
      </c>
      <c r="F966" s="31" t="s">
        <v>1041</v>
      </c>
      <c r="G966" s="34"/>
      <c r="H966" s="34" t="str">
        <f>IF(LEFT('PL1(Full)'!$F966,4)="Thôn","Thôn","Tổ")</f>
        <v>Thôn</v>
      </c>
      <c r="I966" s="36">
        <v>32</v>
      </c>
      <c r="J966" s="36">
        <v>129</v>
      </c>
      <c r="K966" s="36">
        <v>32</v>
      </c>
      <c r="L966" s="37">
        <f t="shared" si="0"/>
        <v>100</v>
      </c>
      <c r="M966" s="36">
        <v>26</v>
      </c>
      <c r="N966" s="38">
        <f t="shared" si="1"/>
        <v>81.25</v>
      </c>
      <c r="O966" s="36">
        <v>26</v>
      </c>
      <c r="P966" s="38">
        <f t="shared" si="2"/>
        <v>100</v>
      </c>
      <c r="Q966" s="39" t="s">
        <v>63</v>
      </c>
      <c r="R966" s="39" t="str">
        <f t="shared" si="3"/>
        <v>X</v>
      </c>
      <c r="S966" s="34" t="s">
        <v>60</v>
      </c>
      <c r="T966" s="34" t="str">
        <f>IF('PL1(Full)'!$N966&gt;=20,"x",IF(AND('PL1(Full)'!$N966&gt;=15,'PL1(Full)'!$P966&gt;60),"x",""))</f>
        <v>x</v>
      </c>
      <c r="U966" s="34" t="str">
        <f>IF(AND('PL1(Full)'!$H966="Thôn",'PL1(Full)'!$I966&lt;75),"x",IF(AND('PL1(Full)'!$H966="Tổ",'PL1(Full)'!$I966&lt;100),"x","-"))</f>
        <v>x</v>
      </c>
      <c r="V966" s="34" t="str">
        <f>IF(AND('PL1(Full)'!$H966="Thôn",'PL1(Full)'!$I966&lt;140),"x",IF(AND('PL1(Full)'!$H966="Tổ",'PL1(Full)'!$I966&lt;210),"x","-"))</f>
        <v>x</v>
      </c>
      <c r="W966" s="40" t="str">
        <f t="shared" si="175"/>
        <v>Loại 3</v>
      </c>
      <c r="X966" s="34"/>
    </row>
    <row r="967" spans="1:24" ht="15.75" customHeight="1">
      <c r="A967" s="30">
        <f>_xlfn.AGGREGATE(4,7,A$6:A966)+1</f>
        <v>722</v>
      </c>
      <c r="B967" s="31" t="str">
        <f t="shared" si="173"/>
        <v>H. Ngân Sơn</v>
      </c>
      <c r="C967" s="31" t="str">
        <f t="shared" si="176"/>
        <v>X. Bằng Vân</v>
      </c>
      <c r="D967" s="34"/>
      <c r="E967" s="34" t="s">
        <v>58</v>
      </c>
      <c r="F967" s="31" t="s">
        <v>1042</v>
      </c>
      <c r="G967" s="34"/>
      <c r="H967" s="34" t="str">
        <f>IF(LEFT('PL1(Full)'!$F967,4)="Thôn","Thôn","Tổ")</f>
        <v>Thôn</v>
      </c>
      <c r="I967" s="36">
        <v>30</v>
      </c>
      <c r="J967" s="36">
        <v>131</v>
      </c>
      <c r="K967" s="36">
        <v>30</v>
      </c>
      <c r="L967" s="37">
        <f t="shared" si="0"/>
        <v>100</v>
      </c>
      <c r="M967" s="36">
        <v>27</v>
      </c>
      <c r="N967" s="38">
        <f t="shared" si="1"/>
        <v>90</v>
      </c>
      <c r="O967" s="36">
        <v>27</v>
      </c>
      <c r="P967" s="38">
        <f t="shared" si="2"/>
        <v>100</v>
      </c>
      <c r="Q967" s="39" t="s">
        <v>63</v>
      </c>
      <c r="R967" s="39" t="str">
        <f t="shared" si="3"/>
        <v>X</v>
      </c>
      <c r="S967" s="34" t="s">
        <v>60</v>
      </c>
      <c r="T967" s="34" t="str">
        <f>IF('PL1(Full)'!$N967&gt;=20,"x",IF(AND('PL1(Full)'!$N967&gt;=15,'PL1(Full)'!$P967&gt;60),"x",""))</f>
        <v>x</v>
      </c>
      <c r="U967" s="34" t="str">
        <f>IF(AND('PL1(Full)'!$H967="Thôn",'PL1(Full)'!$I967&lt;75),"x",IF(AND('PL1(Full)'!$H967="Tổ",'PL1(Full)'!$I967&lt;100),"x","-"))</f>
        <v>x</v>
      </c>
      <c r="V967" s="34" t="str">
        <f>IF(AND('PL1(Full)'!$H967="Thôn",'PL1(Full)'!$I967&lt;140),"x",IF(AND('PL1(Full)'!$H967="Tổ",'PL1(Full)'!$I967&lt;210),"x","-"))</f>
        <v>x</v>
      </c>
      <c r="W967" s="40" t="str">
        <f t="shared" si="175"/>
        <v>Loại 3</v>
      </c>
      <c r="X967" s="34"/>
    </row>
    <row r="968" spans="1:24" ht="15.75" customHeight="1">
      <c r="A968" s="30">
        <f>_xlfn.AGGREGATE(4,7,A$6:A967)+1</f>
        <v>723</v>
      </c>
      <c r="B968" s="31" t="str">
        <f t="shared" si="173"/>
        <v>H. Ngân Sơn</v>
      </c>
      <c r="C968" s="31" t="str">
        <f t="shared" si="176"/>
        <v>X. Bằng Vân</v>
      </c>
      <c r="D968" s="34"/>
      <c r="E968" s="34" t="s">
        <v>58</v>
      </c>
      <c r="F968" s="31" t="s">
        <v>1043</v>
      </c>
      <c r="G968" s="34"/>
      <c r="H968" s="34" t="str">
        <f>IF(LEFT('PL1(Full)'!$F968,4)="Thôn","Thôn","Tổ")</f>
        <v>Thôn</v>
      </c>
      <c r="I968" s="36">
        <v>37</v>
      </c>
      <c r="J968" s="36">
        <v>164</v>
      </c>
      <c r="K968" s="36">
        <v>37</v>
      </c>
      <c r="L968" s="37">
        <f t="shared" si="0"/>
        <v>100</v>
      </c>
      <c r="M968" s="36">
        <v>35</v>
      </c>
      <c r="N968" s="38">
        <f t="shared" si="1"/>
        <v>94.594594594594597</v>
      </c>
      <c r="O968" s="36">
        <v>35</v>
      </c>
      <c r="P968" s="38">
        <f t="shared" si="2"/>
        <v>100</v>
      </c>
      <c r="Q968" s="39" t="s">
        <v>63</v>
      </c>
      <c r="R968" s="39" t="str">
        <f t="shared" si="3"/>
        <v>X</v>
      </c>
      <c r="S968" s="34" t="s">
        <v>60</v>
      </c>
      <c r="T968" s="34" t="str">
        <f>IF('PL1(Full)'!$N968&gt;=20,"x",IF(AND('PL1(Full)'!$N968&gt;=15,'PL1(Full)'!$P968&gt;60),"x",""))</f>
        <v>x</v>
      </c>
      <c r="U968" s="34" t="str">
        <f>IF(AND('PL1(Full)'!$H968="Thôn",'PL1(Full)'!$I968&lt;75),"x",IF(AND('PL1(Full)'!$H968="Tổ",'PL1(Full)'!$I968&lt;100),"x","-"))</f>
        <v>x</v>
      </c>
      <c r="V968" s="34" t="str">
        <f>IF(AND('PL1(Full)'!$H968="Thôn",'PL1(Full)'!$I968&lt;140),"x",IF(AND('PL1(Full)'!$H968="Tổ",'PL1(Full)'!$I968&lt;210),"x","-"))</f>
        <v>x</v>
      </c>
      <c r="W968" s="40" t="str">
        <f t="shared" si="175"/>
        <v>Loại 3</v>
      </c>
      <c r="X968" s="34"/>
    </row>
    <row r="969" spans="1:24" ht="15.75" customHeight="1">
      <c r="A969" s="30">
        <f>_xlfn.AGGREGATE(4,7,A$6:A968)+1</f>
        <v>724</v>
      </c>
      <c r="B969" s="31" t="str">
        <f t="shared" si="173"/>
        <v>H. Ngân Sơn</v>
      </c>
      <c r="C969" s="31" t="str">
        <f t="shared" si="176"/>
        <v>X. Bằng Vân</v>
      </c>
      <c r="D969" s="34"/>
      <c r="E969" s="34" t="s">
        <v>58</v>
      </c>
      <c r="F969" s="31" t="s">
        <v>1044</v>
      </c>
      <c r="G969" s="34"/>
      <c r="H969" s="34" t="str">
        <f>IF(LEFT('PL1(Full)'!$F969,4)="Thôn","Thôn","Tổ")</f>
        <v>Thôn</v>
      </c>
      <c r="I969" s="36">
        <v>17</v>
      </c>
      <c r="J969" s="36">
        <v>82</v>
      </c>
      <c r="K969" s="36">
        <v>17</v>
      </c>
      <c r="L969" s="37">
        <f t="shared" si="0"/>
        <v>100</v>
      </c>
      <c r="M969" s="36">
        <v>15</v>
      </c>
      <c r="N969" s="38">
        <f t="shared" si="1"/>
        <v>88.235294117647058</v>
      </c>
      <c r="O969" s="36">
        <v>15</v>
      </c>
      <c r="P969" s="38">
        <f t="shared" si="2"/>
        <v>100</v>
      </c>
      <c r="Q969" s="39" t="s">
        <v>154</v>
      </c>
      <c r="R969" s="39" t="str">
        <f t="shared" si="3"/>
        <v>X</v>
      </c>
      <c r="S969" s="34" t="s">
        <v>60</v>
      </c>
      <c r="T969" s="34" t="str">
        <f>IF('PL1(Full)'!$N969&gt;=20,"x",IF(AND('PL1(Full)'!$N969&gt;=15,'PL1(Full)'!$P969&gt;60),"x",""))</f>
        <v>x</v>
      </c>
      <c r="U969" s="34" t="str">
        <f>IF(AND('PL1(Full)'!$H969="Thôn",'PL1(Full)'!$I969&lt;75),"x",IF(AND('PL1(Full)'!$H969="Tổ",'PL1(Full)'!$I969&lt;100),"x","-"))</f>
        <v>x</v>
      </c>
      <c r="V969" s="34" t="str">
        <f>IF(AND('PL1(Full)'!$H969="Thôn",'PL1(Full)'!$I969&lt;140),"x",IF(AND('PL1(Full)'!$H969="Tổ",'PL1(Full)'!$I969&lt;210),"x","-"))</f>
        <v>x</v>
      </c>
      <c r="W969" s="40" t="str">
        <f t="shared" si="175"/>
        <v>Loại 3</v>
      </c>
      <c r="X969" s="34"/>
    </row>
    <row r="970" spans="1:24" ht="15.75" hidden="1" customHeight="1">
      <c r="A970" s="41">
        <f>_xlfn.AGGREGATE(4,7,A$6:A969)+1</f>
        <v>725</v>
      </c>
      <c r="B970" s="42" t="str">
        <f t="shared" si="173"/>
        <v>H. Ngân Sơn</v>
      </c>
      <c r="C970" s="42" t="str">
        <f t="shared" si="176"/>
        <v>X. Bằng Vân</v>
      </c>
      <c r="D970" s="50"/>
      <c r="E970" s="50" t="s">
        <v>58</v>
      </c>
      <c r="F970" s="42" t="s">
        <v>1045</v>
      </c>
      <c r="G970" s="50"/>
      <c r="H970" s="50" t="str">
        <f>IF(LEFT('PL1(Full)'!$F970,4)="Thôn","Thôn","Tổ")</f>
        <v>Thôn</v>
      </c>
      <c r="I970" s="46">
        <v>117</v>
      </c>
      <c r="J970" s="46">
        <v>482</v>
      </c>
      <c r="K970" s="46">
        <v>116</v>
      </c>
      <c r="L970" s="47">
        <f t="shared" si="0"/>
        <v>99.145299145299148</v>
      </c>
      <c r="M970" s="46">
        <v>22</v>
      </c>
      <c r="N970" s="48">
        <f t="shared" si="1"/>
        <v>18.803418803418804</v>
      </c>
      <c r="O970" s="46">
        <v>21</v>
      </c>
      <c r="P970" s="48">
        <f t="shared" si="2"/>
        <v>95.454545454545453</v>
      </c>
      <c r="Q970" s="39" t="s">
        <v>43</v>
      </c>
      <c r="R970" s="56" t="str">
        <f t="shared" si="3"/>
        <v>X</v>
      </c>
      <c r="S970" s="50" t="s">
        <v>60</v>
      </c>
      <c r="T970" s="50" t="str">
        <f>IF('PL1(Full)'!$N970&gt;=20,"x",IF(AND('PL1(Full)'!$N970&gt;=15,'PL1(Full)'!$P970&gt;60),"x",""))</f>
        <v>x</v>
      </c>
      <c r="U970" s="50" t="str">
        <f>IF(AND('PL1(Full)'!$H970="Thôn",'PL1(Full)'!$I970&lt;75),"x",IF(AND('PL1(Full)'!$H970="Tổ",'PL1(Full)'!$I970&lt;100),"x","-"))</f>
        <v>-</v>
      </c>
      <c r="V970" s="34" t="str">
        <f>IF(AND('PL1(Full)'!$H970="Thôn",'PL1(Full)'!$I970&lt;140),"x",IF(AND('PL1(Full)'!$H970="Tổ",'PL1(Full)'!$I970&lt;210),"x","-"))</f>
        <v>x</v>
      </c>
      <c r="W970" s="51" t="str">
        <f t="shared" si="175"/>
        <v>Loại 2</v>
      </c>
      <c r="X970" s="50"/>
    </row>
    <row r="971" spans="1:24" ht="15.75" customHeight="1">
      <c r="A971" s="52">
        <f>_xlfn.AGGREGATE(4,7,A$6:A970)+1</f>
        <v>725</v>
      </c>
      <c r="B971" s="14" t="str">
        <f t="shared" si="173"/>
        <v>H. Ngân Sơn</v>
      </c>
      <c r="C971" s="14" t="s">
        <v>1046</v>
      </c>
      <c r="D971" s="25" t="s">
        <v>58</v>
      </c>
      <c r="E971" s="25" t="s">
        <v>58</v>
      </c>
      <c r="F971" s="53" t="s">
        <v>1047</v>
      </c>
      <c r="G971" s="25"/>
      <c r="H971" s="25" t="str">
        <f>IF(LEFT('PL1(Full)'!$F971,4)="Thôn","Thôn","Tổ")</f>
        <v>Thôn</v>
      </c>
      <c r="I971" s="20">
        <v>23</v>
      </c>
      <c r="J971" s="19">
        <v>98</v>
      </c>
      <c r="K971" s="19">
        <v>23</v>
      </c>
      <c r="L971" s="21">
        <f t="shared" si="0"/>
        <v>100</v>
      </c>
      <c r="M971" s="19">
        <v>3</v>
      </c>
      <c r="N971" s="22">
        <f t="shared" si="1"/>
        <v>13.043478260869565</v>
      </c>
      <c r="O971" s="19">
        <v>3</v>
      </c>
      <c r="P971" s="22">
        <f t="shared" si="2"/>
        <v>100</v>
      </c>
      <c r="Q971" s="23" t="s">
        <v>52</v>
      </c>
      <c r="R971" s="24" t="str">
        <f t="shared" si="3"/>
        <v>C</v>
      </c>
      <c r="S971" s="25"/>
      <c r="T971" s="26" t="str">
        <f>IF('PL1(Full)'!$N971&gt;=20,"x",IF(AND('PL1(Full)'!$N971&gt;=15,'PL1(Full)'!$P971&gt;60),"x",""))</f>
        <v/>
      </c>
      <c r="U971" s="27" t="str">
        <f>IF(AND('PL1(Full)'!$H971="Thôn",'PL1(Full)'!$I971&lt;75),"x",IF(AND('PL1(Full)'!$H971="Tổ",'PL1(Full)'!$I971&lt;100),"x","-"))</f>
        <v>x</v>
      </c>
      <c r="V971" s="28" t="str">
        <f>IF(AND('PL1(Full)'!$H971="Thôn",'PL1(Full)'!$I971&lt;140),"x",IF(AND('PL1(Full)'!$H971="Tổ",'PL1(Full)'!$I971&lt;210),"x","-"))</f>
        <v>x</v>
      </c>
      <c r="W971" s="29" t="str">
        <f t="shared" si="175"/>
        <v>Loại 3</v>
      </c>
      <c r="X971" s="25"/>
    </row>
    <row r="972" spans="1:24" ht="15.75" customHeight="1">
      <c r="A972" s="30">
        <f>_xlfn.AGGREGATE(4,7,A$6:A971)+1</f>
        <v>726</v>
      </c>
      <c r="B972" s="31" t="str">
        <f t="shared" si="173"/>
        <v>H. Ngân Sơn</v>
      </c>
      <c r="C972" s="31" t="str">
        <f t="shared" ref="C972:C991" si="177">C971</f>
        <v>X. Cốc Đán</v>
      </c>
      <c r="D972" s="34"/>
      <c r="E972" s="34" t="s">
        <v>58</v>
      </c>
      <c r="F972" s="54" t="s">
        <v>1048</v>
      </c>
      <c r="G972" s="34"/>
      <c r="H972" s="34" t="str">
        <f>IF(LEFT('PL1(Full)'!$F972,4)="Thôn","Thôn","Tổ")</f>
        <v>Thôn</v>
      </c>
      <c r="I972" s="36">
        <v>19</v>
      </c>
      <c r="J972" s="35">
        <v>84</v>
      </c>
      <c r="K972" s="35">
        <v>19</v>
      </c>
      <c r="L972" s="37">
        <f t="shared" si="0"/>
        <v>100</v>
      </c>
      <c r="M972" s="35">
        <v>6</v>
      </c>
      <c r="N972" s="38">
        <f t="shared" si="1"/>
        <v>31.578947368421051</v>
      </c>
      <c r="O972" s="35">
        <v>6</v>
      </c>
      <c r="P972" s="38">
        <f t="shared" si="2"/>
        <v>100</v>
      </c>
      <c r="Q972" s="39" t="s">
        <v>52</v>
      </c>
      <c r="R972" s="39" t="str">
        <f t="shared" si="3"/>
        <v>C</v>
      </c>
      <c r="S972" s="34"/>
      <c r="T972" s="34" t="str">
        <f>IF('PL1(Full)'!$N972&gt;=20,"x",IF(AND('PL1(Full)'!$N972&gt;=15,'PL1(Full)'!$P972&gt;60),"x",""))</f>
        <v>x</v>
      </c>
      <c r="U972" s="34" t="str">
        <f>IF(AND('PL1(Full)'!$H972="Thôn",'PL1(Full)'!$I972&lt;75),"x",IF(AND('PL1(Full)'!$H972="Tổ",'PL1(Full)'!$I972&lt;100),"x","-"))</f>
        <v>x</v>
      </c>
      <c r="V972" s="34" t="str">
        <f>IF(AND('PL1(Full)'!$H972="Thôn",'PL1(Full)'!$I972&lt;140),"x",IF(AND('PL1(Full)'!$H972="Tổ",'PL1(Full)'!$I972&lt;210),"x","-"))</f>
        <v>x</v>
      </c>
      <c r="W972" s="40" t="str">
        <f t="shared" si="175"/>
        <v>Loại 3</v>
      </c>
      <c r="X972" s="34"/>
    </row>
    <row r="973" spans="1:24" ht="15.75" customHeight="1">
      <c r="A973" s="30">
        <f>_xlfn.AGGREGATE(4,7,A$6:A972)+1</f>
        <v>727</v>
      </c>
      <c r="B973" s="31" t="str">
        <f t="shared" si="173"/>
        <v>H. Ngân Sơn</v>
      </c>
      <c r="C973" s="31" t="str">
        <f t="shared" si="177"/>
        <v>X. Cốc Đán</v>
      </c>
      <c r="D973" s="34"/>
      <c r="E973" s="34" t="s">
        <v>58</v>
      </c>
      <c r="F973" s="54" t="s">
        <v>1049</v>
      </c>
      <c r="G973" s="34"/>
      <c r="H973" s="34" t="str">
        <f>IF(LEFT('PL1(Full)'!$F973,4)="Thôn","Thôn","Tổ")</f>
        <v>Thôn</v>
      </c>
      <c r="I973" s="36">
        <v>31</v>
      </c>
      <c r="J973" s="35">
        <v>128</v>
      </c>
      <c r="K973" s="35">
        <v>30</v>
      </c>
      <c r="L973" s="37">
        <f t="shared" si="0"/>
        <v>96.774193548387103</v>
      </c>
      <c r="M973" s="35">
        <v>7</v>
      </c>
      <c r="N973" s="38">
        <f t="shared" si="1"/>
        <v>22.580645161290324</v>
      </c>
      <c r="O973" s="35">
        <v>7</v>
      </c>
      <c r="P973" s="38">
        <f t="shared" si="2"/>
        <v>100</v>
      </c>
      <c r="Q973" s="39" t="s">
        <v>52</v>
      </c>
      <c r="R973" s="39" t="str">
        <f t="shared" si="3"/>
        <v>C</v>
      </c>
      <c r="S973" s="34" t="s">
        <v>60</v>
      </c>
      <c r="T973" s="34" t="str">
        <f>IF('PL1(Full)'!$N973&gt;=20,"x",IF(AND('PL1(Full)'!$N973&gt;=15,'PL1(Full)'!$P973&gt;60),"x",""))</f>
        <v>x</v>
      </c>
      <c r="U973" s="34" t="str">
        <f>IF(AND('PL1(Full)'!$H973="Thôn",'PL1(Full)'!$I973&lt;75),"x",IF(AND('PL1(Full)'!$H973="Tổ",'PL1(Full)'!$I973&lt;100),"x","-"))</f>
        <v>x</v>
      </c>
      <c r="V973" s="34" t="str">
        <f>IF(AND('PL1(Full)'!$H973="Thôn",'PL1(Full)'!$I973&lt;140),"x",IF(AND('PL1(Full)'!$H973="Tổ",'PL1(Full)'!$I973&lt;210),"x","-"))</f>
        <v>x</v>
      </c>
      <c r="W973" s="40" t="str">
        <f t="shared" si="175"/>
        <v>Loại 3</v>
      </c>
      <c r="X973" s="34"/>
    </row>
    <row r="974" spans="1:24" ht="15.75" customHeight="1">
      <c r="A974" s="30">
        <f>_xlfn.AGGREGATE(4,7,A$6:A973)+1</f>
        <v>728</v>
      </c>
      <c r="B974" s="31" t="str">
        <f t="shared" si="173"/>
        <v>H. Ngân Sơn</v>
      </c>
      <c r="C974" s="31" t="str">
        <f t="shared" si="177"/>
        <v>X. Cốc Đán</v>
      </c>
      <c r="D974" s="34"/>
      <c r="E974" s="34" t="s">
        <v>58</v>
      </c>
      <c r="F974" s="54" t="s">
        <v>1050</v>
      </c>
      <c r="G974" s="34"/>
      <c r="H974" s="34" t="str">
        <f>IF(LEFT('PL1(Full)'!$F974,4)="Thôn","Thôn","Tổ")</f>
        <v>Thôn</v>
      </c>
      <c r="I974" s="36">
        <v>32</v>
      </c>
      <c r="J974" s="35">
        <v>137</v>
      </c>
      <c r="K974" s="35">
        <v>32</v>
      </c>
      <c r="L974" s="37">
        <f t="shared" si="0"/>
        <v>100</v>
      </c>
      <c r="M974" s="35">
        <v>28</v>
      </c>
      <c r="N974" s="38">
        <f t="shared" si="1"/>
        <v>87.5</v>
      </c>
      <c r="O974" s="35">
        <v>28</v>
      </c>
      <c r="P974" s="38">
        <f t="shared" si="2"/>
        <v>100</v>
      </c>
      <c r="Q974" s="39" t="s">
        <v>52</v>
      </c>
      <c r="R974" s="39" t="str">
        <f t="shared" si="3"/>
        <v>C</v>
      </c>
      <c r="S974" s="34" t="s">
        <v>60</v>
      </c>
      <c r="T974" s="34" t="str">
        <f>IF('PL1(Full)'!$N974&gt;=20,"x",IF(AND('PL1(Full)'!$N974&gt;=15,'PL1(Full)'!$P974&gt;60),"x",""))</f>
        <v>x</v>
      </c>
      <c r="U974" s="34" t="str">
        <f>IF(AND('PL1(Full)'!$H974="Thôn",'PL1(Full)'!$I974&lt;75),"x",IF(AND('PL1(Full)'!$H974="Tổ",'PL1(Full)'!$I974&lt;100),"x","-"))</f>
        <v>x</v>
      </c>
      <c r="V974" s="34" t="str">
        <f>IF(AND('PL1(Full)'!$H974="Thôn",'PL1(Full)'!$I974&lt;140),"x",IF(AND('PL1(Full)'!$H974="Tổ",'PL1(Full)'!$I974&lt;210),"x","-"))</f>
        <v>x</v>
      </c>
      <c r="W974" s="40" t="str">
        <f t="shared" si="175"/>
        <v>Loại 3</v>
      </c>
      <c r="X974" s="34"/>
    </row>
    <row r="975" spans="1:24" ht="15.75" customHeight="1">
      <c r="A975" s="30">
        <f>_xlfn.AGGREGATE(4,7,A$6:A974)+1</f>
        <v>729</v>
      </c>
      <c r="B975" s="31" t="str">
        <f t="shared" si="173"/>
        <v>H. Ngân Sơn</v>
      </c>
      <c r="C975" s="31" t="str">
        <f t="shared" si="177"/>
        <v>X. Cốc Đán</v>
      </c>
      <c r="D975" s="34"/>
      <c r="E975" s="34" t="s">
        <v>58</v>
      </c>
      <c r="F975" s="54" t="s">
        <v>953</v>
      </c>
      <c r="G975" s="34"/>
      <c r="H975" s="34" t="str">
        <f>IF(LEFT('PL1(Full)'!$F975,4)="Thôn","Thôn","Tổ")</f>
        <v>Thôn</v>
      </c>
      <c r="I975" s="36">
        <v>27</v>
      </c>
      <c r="J975" s="35">
        <v>157</v>
      </c>
      <c r="K975" s="35">
        <v>25</v>
      </c>
      <c r="L975" s="37">
        <f t="shared" si="0"/>
        <v>92.592592592592595</v>
      </c>
      <c r="M975" s="35">
        <v>9</v>
      </c>
      <c r="N975" s="38">
        <f t="shared" si="1"/>
        <v>33.333333333333336</v>
      </c>
      <c r="O975" s="35">
        <v>7</v>
      </c>
      <c r="P975" s="38">
        <f t="shared" si="2"/>
        <v>77.777777777777771</v>
      </c>
      <c r="Q975" s="39" t="s">
        <v>63</v>
      </c>
      <c r="R975" s="39" t="str">
        <f t="shared" si="3"/>
        <v>X</v>
      </c>
      <c r="S975" s="34" t="s">
        <v>60</v>
      </c>
      <c r="T975" s="34" t="str">
        <f>IF('PL1(Full)'!$N975&gt;=20,"x",IF(AND('PL1(Full)'!$N975&gt;=15,'PL1(Full)'!$P975&gt;60),"x",""))</f>
        <v>x</v>
      </c>
      <c r="U975" s="34" t="str">
        <f>IF(AND('PL1(Full)'!$H975="Thôn",'PL1(Full)'!$I975&lt;75),"x",IF(AND('PL1(Full)'!$H975="Tổ",'PL1(Full)'!$I975&lt;100),"x","-"))</f>
        <v>x</v>
      </c>
      <c r="V975" s="34" t="str">
        <f>IF(AND('PL1(Full)'!$H975="Thôn",'PL1(Full)'!$I975&lt;140),"x",IF(AND('PL1(Full)'!$H975="Tổ",'PL1(Full)'!$I975&lt;210),"x","-"))</f>
        <v>x</v>
      </c>
      <c r="W975" s="40" t="str">
        <f t="shared" si="175"/>
        <v>Loại 3</v>
      </c>
      <c r="X975" s="34"/>
    </row>
    <row r="976" spans="1:24" ht="15.75" customHeight="1">
      <c r="A976" s="30">
        <f>_xlfn.AGGREGATE(4,7,A$6:A975)+1</f>
        <v>730</v>
      </c>
      <c r="B976" s="31" t="str">
        <f t="shared" si="173"/>
        <v>H. Ngân Sơn</v>
      </c>
      <c r="C976" s="31" t="str">
        <f t="shared" si="177"/>
        <v>X. Cốc Đán</v>
      </c>
      <c r="D976" s="34"/>
      <c r="E976" s="34" t="s">
        <v>58</v>
      </c>
      <c r="F976" s="54" t="s">
        <v>1051</v>
      </c>
      <c r="G976" s="34"/>
      <c r="H976" s="34" t="str">
        <f>IF(LEFT('PL1(Full)'!$F976,4)="Thôn","Thôn","Tổ")</f>
        <v>Thôn</v>
      </c>
      <c r="I976" s="36">
        <v>43</v>
      </c>
      <c r="J976" s="36">
        <v>186</v>
      </c>
      <c r="K976" s="36">
        <v>43</v>
      </c>
      <c r="L976" s="37">
        <f t="shared" si="0"/>
        <v>100</v>
      </c>
      <c r="M976" s="35">
        <v>10</v>
      </c>
      <c r="N976" s="38">
        <f t="shared" si="1"/>
        <v>23.255813953488371</v>
      </c>
      <c r="O976" s="35">
        <v>10</v>
      </c>
      <c r="P976" s="38">
        <f t="shared" si="2"/>
        <v>100</v>
      </c>
      <c r="Q976" s="39" t="s">
        <v>52</v>
      </c>
      <c r="R976" s="39" t="str">
        <f t="shared" si="3"/>
        <v>C</v>
      </c>
      <c r="S976" s="34"/>
      <c r="T976" s="34" t="str">
        <f>IF('PL1(Full)'!$N976&gt;=20,"x",IF(AND('PL1(Full)'!$N976&gt;=15,'PL1(Full)'!$P976&gt;60),"x",""))</f>
        <v>x</v>
      </c>
      <c r="U976" s="34" t="str">
        <f>IF(AND('PL1(Full)'!$H976="Thôn",'PL1(Full)'!$I976&lt;75),"x",IF(AND('PL1(Full)'!$H976="Tổ",'PL1(Full)'!$I976&lt;100),"x","-"))</f>
        <v>x</v>
      </c>
      <c r="V976" s="34" t="str">
        <f>IF(AND('PL1(Full)'!$H976="Thôn",'PL1(Full)'!$I976&lt;140),"x",IF(AND('PL1(Full)'!$H976="Tổ",'PL1(Full)'!$I976&lt;210),"x","-"))</f>
        <v>x</v>
      </c>
      <c r="W976" s="40" t="str">
        <f t="shared" si="175"/>
        <v>Loại 3</v>
      </c>
      <c r="X976" s="34"/>
    </row>
    <row r="977" spans="1:24" ht="15.75" customHeight="1">
      <c r="A977" s="30">
        <f>_xlfn.AGGREGATE(4,7,A$6:A976)+1</f>
        <v>731</v>
      </c>
      <c r="B977" s="31" t="str">
        <f t="shared" si="173"/>
        <v>H. Ngân Sơn</v>
      </c>
      <c r="C977" s="31" t="str">
        <f t="shared" si="177"/>
        <v>X. Cốc Đán</v>
      </c>
      <c r="D977" s="34"/>
      <c r="E977" s="34" t="s">
        <v>58</v>
      </c>
      <c r="F977" s="54" t="s">
        <v>439</v>
      </c>
      <c r="G977" s="34" t="s">
        <v>137</v>
      </c>
      <c r="H977" s="34" t="str">
        <f>IF(LEFT('PL1(Full)'!$F977,4)="Thôn","Thôn","Tổ")</f>
        <v>Thôn</v>
      </c>
      <c r="I977" s="36">
        <v>58</v>
      </c>
      <c r="J977" s="36">
        <v>262</v>
      </c>
      <c r="K977" s="36">
        <v>58</v>
      </c>
      <c r="L977" s="37">
        <f t="shared" si="0"/>
        <v>100</v>
      </c>
      <c r="M977" s="35">
        <v>8</v>
      </c>
      <c r="N977" s="38">
        <f t="shared" si="1"/>
        <v>13.793103448275861</v>
      </c>
      <c r="O977" s="35">
        <v>8</v>
      </c>
      <c r="P977" s="38">
        <f t="shared" si="2"/>
        <v>100</v>
      </c>
      <c r="Q977" s="39" t="s">
        <v>56</v>
      </c>
      <c r="R977" s="39" t="str">
        <f t="shared" si="3"/>
        <v>X</v>
      </c>
      <c r="S977" s="34"/>
      <c r="T977" s="34" t="str">
        <f>IF('PL1(Full)'!$N977&gt;=20,"x",IF(AND('PL1(Full)'!$N977&gt;=15,'PL1(Full)'!$P977&gt;60),"x",""))</f>
        <v/>
      </c>
      <c r="U977" s="34" t="str">
        <f>IF(AND('PL1(Full)'!$H977="Thôn",'PL1(Full)'!$I977&lt;75),"x",IF(AND('PL1(Full)'!$H977="Tổ",'PL1(Full)'!$I977&lt;100),"x","-"))</f>
        <v>x</v>
      </c>
      <c r="V977" s="34" t="str">
        <f>IF(AND('PL1(Full)'!$H977="Thôn",'PL1(Full)'!$I977&lt;140),"x",IF(AND('PL1(Full)'!$H977="Tổ",'PL1(Full)'!$I977&lt;210),"x","-"))</f>
        <v>x</v>
      </c>
      <c r="W977" s="40" t="str">
        <f t="shared" si="175"/>
        <v>Loại 3</v>
      </c>
      <c r="X977" s="34"/>
    </row>
    <row r="978" spans="1:24" ht="15.75" customHeight="1">
      <c r="A978" s="30">
        <f>_xlfn.AGGREGATE(4,7,A$6:A977)+1</f>
        <v>732</v>
      </c>
      <c r="B978" s="31" t="str">
        <f t="shared" si="173"/>
        <v>H. Ngân Sơn</v>
      </c>
      <c r="C978" s="31" t="str">
        <f t="shared" si="177"/>
        <v>X. Cốc Đán</v>
      </c>
      <c r="D978" s="34"/>
      <c r="E978" s="34" t="s">
        <v>58</v>
      </c>
      <c r="F978" s="54" t="s">
        <v>1052</v>
      </c>
      <c r="G978" s="34"/>
      <c r="H978" s="34" t="str">
        <f>IF(LEFT('PL1(Full)'!$F978,4)="Thôn","Thôn","Tổ")</f>
        <v>Thôn</v>
      </c>
      <c r="I978" s="36">
        <v>47</v>
      </c>
      <c r="J978" s="36">
        <v>223</v>
      </c>
      <c r="K978" s="36">
        <v>47</v>
      </c>
      <c r="L978" s="37">
        <f t="shared" si="0"/>
        <v>100</v>
      </c>
      <c r="M978" s="35">
        <v>40</v>
      </c>
      <c r="N978" s="38">
        <f t="shared" si="1"/>
        <v>85.106382978723403</v>
      </c>
      <c r="O978" s="35">
        <v>40</v>
      </c>
      <c r="P978" s="38">
        <f t="shared" si="2"/>
        <v>100</v>
      </c>
      <c r="Q978" s="39" t="s">
        <v>56</v>
      </c>
      <c r="R978" s="39" t="str">
        <f t="shared" si="3"/>
        <v>X</v>
      </c>
      <c r="S978" s="34" t="s">
        <v>60</v>
      </c>
      <c r="T978" s="34" t="str">
        <f>IF('PL1(Full)'!$N978&gt;=20,"x",IF(AND('PL1(Full)'!$N978&gt;=15,'PL1(Full)'!$P978&gt;60),"x",""))</f>
        <v>x</v>
      </c>
      <c r="U978" s="34" t="str">
        <f>IF(AND('PL1(Full)'!$H978="Thôn",'PL1(Full)'!$I978&lt;75),"x",IF(AND('PL1(Full)'!$H978="Tổ",'PL1(Full)'!$I978&lt;100),"x","-"))</f>
        <v>x</v>
      </c>
      <c r="V978" s="34" t="str">
        <f>IF(AND('PL1(Full)'!$H978="Thôn",'PL1(Full)'!$I978&lt;140),"x",IF(AND('PL1(Full)'!$H978="Tổ",'PL1(Full)'!$I978&lt;210),"x","-"))</f>
        <v>x</v>
      </c>
      <c r="W978" s="40" t="str">
        <f t="shared" si="175"/>
        <v>Loại 3</v>
      </c>
      <c r="X978" s="34"/>
    </row>
    <row r="979" spans="1:24" ht="15.75" customHeight="1">
      <c r="A979" s="30">
        <f>_xlfn.AGGREGATE(4,7,A$6:A978)+1</f>
        <v>733</v>
      </c>
      <c r="B979" s="31" t="str">
        <f t="shared" si="173"/>
        <v>H. Ngân Sơn</v>
      </c>
      <c r="C979" s="31" t="str">
        <f t="shared" si="177"/>
        <v>X. Cốc Đán</v>
      </c>
      <c r="D979" s="34"/>
      <c r="E979" s="34" t="s">
        <v>58</v>
      </c>
      <c r="F979" s="54" t="s">
        <v>1053</v>
      </c>
      <c r="G979" s="34"/>
      <c r="H979" s="34" t="str">
        <f>IF(LEFT('PL1(Full)'!$F979,4)="Thôn","Thôn","Tổ")</f>
        <v>Thôn</v>
      </c>
      <c r="I979" s="36">
        <v>15</v>
      </c>
      <c r="J979" s="36">
        <v>74</v>
      </c>
      <c r="K979" s="36">
        <v>15</v>
      </c>
      <c r="L979" s="37">
        <f t="shared" si="0"/>
        <v>100</v>
      </c>
      <c r="M979" s="35">
        <v>15</v>
      </c>
      <c r="N979" s="38">
        <f t="shared" si="1"/>
        <v>100</v>
      </c>
      <c r="O979" s="35">
        <v>15</v>
      </c>
      <c r="P979" s="38">
        <f t="shared" si="2"/>
        <v>100</v>
      </c>
      <c r="Q979" s="39" t="s">
        <v>52</v>
      </c>
      <c r="R979" s="39" t="str">
        <f t="shared" si="3"/>
        <v>C</v>
      </c>
      <c r="S979" s="34" t="s">
        <v>60</v>
      </c>
      <c r="T979" s="34" t="str">
        <f>IF('PL1(Full)'!$N979&gt;=20,"x",IF(AND('PL1(Full)'!$N979&gt;=15,'PL1(Full)'!$P979&gt;60),"x",""))</f>
        <v>x</v>
      </c>
      <c r="U979" s="34" t="str">
        <f>IF(AND('PL1(Full)'!$H979="Thôn",'PL1(Full)'!$I979&lt;75),"x",IF(AND('PL1(Full)'!$H979="Tổ",'PL1(Full)'!$I979&lt;100),"x","-"))</f>
        <v>x</v>
      </c>
      <c r="V979" s="34" t="str">
        <f>IF(AND('PL1(Full)'!$H979="Thôn",'PL1(Full)'!$I979&lt;140),"x",IF(AND('PL1(Full)'!$H979="Tổ",'PL1(Full)'!$I979&lt;210),"x","-"))</f>
        <v>x</v>
      </c>
      <c r="W979" s="40" t="str">
        <f t="shared" si="175"/>
        <v>Loại 3</v>
      </c>
      <c r="X979" s="34"/>
    </row>
    <row r="980" spans="1:24" ht="15.75" customHeight="1">
      <c r="A980" s="30">
        <f>_xlfn.AGGREGATE(4,7,A$6:A979)+1</f>
        <v>734</v>
      </c>
      <c r="B980" s="31" t="str">
        <f t="shared" si="173"/>
        <v>H. Ngân Sơn</v>
      </c>
      <c r="C980" s="31" t="str">
        <f t="shared" si="177"/>
        <v>X. Cốc Đán</v>
      </c>
      <c r="D980" s="34"/>
      <c r="E980" s="34" t="s">
        <v>58</v>
      </c>
      <c r="F980" s="54" t="s">
        <v>1054</v>
      </c>
      <c r="G980" s="34"/>
      <c r="H980" s="34" t="str">
        <f>IF(LEFT('PL1(Full)'!$F980,4)="Thôn","Thôn","Tổ")</f>
        <v>Thôn</v>
      </c>
      <c r="I980" s="36">
        <v>26</v>
      </c>
      <c r="J980" s="36">
        <v>106</v>
      </c>
      <c r="K980" s="36">
        <v>26</v>
      </c>
      <c r="L980" s="37">
        <f t="shared" si="0"/>
        <v>100</v>
      </c>
      <c r="M980" s="35">
        <v>25</v>
      </c>
      <c r="N980" s="38">
        <f t="shared" si="1"/>
        <v>96.15384615384616</v>
      </c>
      <c r="O980" s="35">
        <v>25</v>
      </c>
      <c r="P980" s="38">
        <f t="shared" si="2"/>
        <v>100</v>
      </c>
      <c r="Q980" s="39" t="s">
        <v>63</v>
      </c>
      <c r="R980" s="39" t="str">
        <f t="shared" si="3"/>
        <v>X</v>
      </c>
      <c r="S980" s="34" t="s">
        <v>60</v>
      </c>
      <c r="T980" s="34" t="str">
        <f>IF('PL1(Full)'!$N980&gt;=20,"x",IF(AND('PL1(Full)'!$N980&gt;=15,'PL1(Full)'!$P980&gt;60),"x",""))</f>
        <v>x</v>
      </c>
      <c r="U980" s="34" t="str">
        <f>IF(AND('PL1(Full)'!$H980="Thôn",'PL1(Full)'!$I980&lt;75),"x",IF(AND('PL1(Full)'!$H980="Tổ",'PL1(Full)'!$I980&lt;100),"x","-"))</f>
        <v>x</v>
      </c>
      <c r="V980" s="34" t="str">
        <f>IF(AND('PL1(Full)'!$H980="Thôn",'PL1(Full)'!$I980&lt;140),"x",IF(AND('PL1(Full)'!$H980="Tổ",'PL1(Full)'!$I980&lt;210),"x","-"))</f>
        <v>x</v>
      </c>
      <c r="W980" s="40" t="str">
        <f t="shared" si="175"/>
        <v>Loại 3</v>
      </c>
      <c r="X980" s="34"/>
    </row>
    <row r="981" spans="1:24" ht="15.75" customHeight="1">
      <c r="A981" s="30">
        <f>_xlfn.AGGREGATE(4,7,A$6:A980)+1</f>
        <v>735</v>
      </c>
      <c r="B981" s="31" t="str">
        <f t="shared" si="173"/>
        <v>H. Ngân Sơn</v>
      </c>
      <c r="C981" s="31" t="str">
        <f t="shared" si="177"/>
        <v>X. Cốc Đán</v>
      </c>
      <c r="D981" s="34"/>
      <c r="E981" s="34" t="s">
        <v>58</v>
      </c>
      <c r="F981" s="54" t="s">
        <v>1055</v>
      </c>
      <c r="G981" s="34"/>
      <c r="H981" s="34" t="str">
        <f>IF(LEFT('PL1(Full)'!$F981,4)="Thôn","Thôn","Tổ")</f>
        <v>Thôn</v>
      </c>
      <c r="I981" s="36">
        <v>12</v>
      </c>
      <c r="J981" s="36">
        <v>52</v>
      </c>
      <c r="K981" s="36">
        <v>12</v>
      </c>
      <c r="L981" s="37">
        <f t="shared" si="0"/>
        <v>100</v>
      </c>
      <c r="M981" s="35">
        <v>10</v>
      </c>
      <c r="N981" s="38">
        <f t="shared" si="1"/>
        <v>83.333333333333329</v>
      </c>
      <c r="O981" s="35">
        <v>10</v>
      </c>
      <c r="P981" s="38">
        <f t="shared" si="2"/>
        <v>100</v>
      </c>
      <c r="Q981" s="39" t="s">
        <v>52</v>
      </c>
      <c r="R981" s="39" t="str">
        <f t="shared" si="3"/>
        <v>C</v>
      </c>
      <c r="S981" s="34" t="s">
        <v>60</v>
      </c>
      <c r="T981" s="34" t="str">
        <f>IF('PL1(Full)'!$N981&gt;=20,"x",IF(AND('PL1(Full)'!$N981&gt;=15,'PL1(Full)'!$P981&gt;60),"x",""))</f>
        <v>x</v>
      </c>
      <c r="U981" s="34" t="str">
        <f>IF(AND('PL1(Full)'!$H981="Thôn",'PL1(Full)'!$I981&lt;75),"x",IF(AND('PL1(Full)'!$H981="Tổ",'PL1(Full)'!$I981&lt;100),"x","-"))</f>
        <v>x</v>
      </c>
      <c r="V981" s="34" t="str">
        <f>IF(AND('PL1(Full)'!$H981="Thôn",'PL1(Full)'!$I981&lt;140),"x",IF(AND('PL1(Full)'!$H981="Tổ",'PL1(Full)'!$I981&lt;210),"x","-"))</f>
        <v>x</v>
      </c>
      <c r="W981" s="40" t="str">
        <f t="shared" si="175"/>
        <v>Loại 3</v>
      </c>
      <c r="X981" s="34"/>
    </row>
    <row r="982" spans="1:24" ht="15.75" customHeight="1">
      <c r="A982" s="30">
        <f>_xlfn.AGGREGATE(4,7,A$6:A981)+1</f>
        <v>736</v>
      </c>
      <c r="B982" s="31" t="str">
        <f t="shared" si="173"/>
        <v>H. Ngân Sơn</v>
      </c>
      <c r="C982" s="31" t="str">
        <f t="shared" si="177"/>
        <v>X. Cốc Đán</v>
      </c>
      <c r="D982" s="34"/>
      <c r="E982" s="34" t="s">
        <v>58</v>
      </c>
      <c r="F982" s="54" t="s">
        <v>1056</v>
      </c>
      <c r="G982" s="34"/>
      <c r="H982" s="34" t="str">
        <f>IF(LEFT('PL1(Full)'!$F982,4)="Thôn","Thôn","Tổ")</f>
        <v>Thôn</v>
      </c>
      <c r="I982" s="36">
        <v>36</v>
      </c>
      <c r="J982" s="36">
        <v>151</v>
      </c>
      <c r="K982" s="36">
        <v>36</v>
      </c>
      <c r="L982" s="37">
        <f t="shared" si="0"/>
        <v>100</v>
      </c>
      <c r="M982" s="35">
        <v>35</v>
      </c>
      <c r="N982" s="38">
        <f t="shared" si="1"/>
        <v>97.222222222222229</v>
      </c>
      <c r="O982" s="35">
        <v>35</v>
      </c>
      <c r="P982" s="38">
        <f t="shared" si="2"/>
        <v>100</v>
      </c>
      <c r="Q982" s="39" t="s">
        <v>52</v>
      </c>
      <c r="R982" s="39" t="str">
        <f t="shared" si="3"/>
        <v>C</v>
      </c>
      <c r="S982" s="34" t="s">
        <v>60</v>
      </c>
      <c r="T982" s="34" t="str">
        <f>IF('PL1(Full)'!$N982&gt;=20,"x",IF(AND('PL1(Full)'!$N982&gt;=15,'PL1(Full)'!$P982&gt;60),"x",""))</f>
        <v>x</v>
      </c>
      <c r="U982" s="34" t="str">
        <f>IF(AND('PL1(Full)'!$H982="Thôn",'PL1(Full)'!$I982&lt;75),"x",IF(AND('PL1(Full)'!$H982="Tổ",'PL1(Full)'!$I982&lt;100),"x","-"))</f>
        <v>x</v>
      </c>
      <c r="V982" s="34" t="str">
        <f>IF(AND('PL1(Full)'!$H982="Thôn",'PL1(Full)'!$I982&lt;140),"x",IF(AND('PL1(Full)'!$H982="Tổ",'PL1(Full)'!$I982&lt;210),"x","-"))</f>
        <v>x</v>
      </c>
      <c r="W982" s="40" t="str">
        <f t="shared" si="175"/>
        <v>Loại 3</v>
      </c>
      <c r="X982" s="34"/>
    </row>
    <row r="983" spans="1:24" ht="15.75" customHeight="1">
      <c r="A983" s="30">
        <f>_xlfn.AGGREGATE(4,7,A$6:A982)+1</f>
        <v>737</v>
      </c>
      <c r="B983" s="31" t="str">
        <f t="shared" si="173"/>
        <v>H. Ngân Sơn</v>
      </c>
      <c r="C983" s="31" t="str">
        <f t="shared" si="177"/>
        <v>X. Cốc Đán</v>
      </c>
      <c r="D983" s="34"/>
      <c r="E983" s="34" t="s">
        <v>58</v>
      </c>
      <c r="F983" s="54" t="s">
        <v>1057</v>
      </c>
      <c r="G983" s="34"/>
      <c r="H983" s="34" t="str">
        <f>IF(LEFT('PL1(Full)'!$F983,4)="Thôn","Thôn","Tổ")</f>
        <v>Thôn</v>
      </c>
      <c r="I983" s="36">
        <v>47</v>
      </c>
      <c r="J983" s="36">
        <v>187</v>
      </c>
      <c r="K983" s="36">
        <v>46</v>
      </c>
      <c r="L983" s="37">
        <f t="shared" si="0"/>
        <v>97.872340425531917</v>
      </c>
      <c r="M983" s="35">
        <v>29</v>
      </c>
      <c r="N983" s="38">
        <f t="shared" si="1"/>
        <v>61.702127659574465</v>
      </c>
      <c r="O983" s="35">
        <v>28</v>
      </c>
      <c r="P983" s="38">
        <f t="shared" si="2"/>
        <v>96.551724137931032</v>
      </c>
      <c r="Q983" s="39" t="s">
        <v>63</v>
      </c>
      <c r="R983" s="39" t="str">
        <f t="shared" si="3"/>
        <v>X</v>
      </c>
      <c r="S983" s="34" t="s">
        <v>60</v>
      </c>
      <c r="T983" s="34" t="str">
        <f>IF('PL1(Full)'!$N983&gt;=20,"x",IF(AND('PL1(Full)'!$N983&gt;=15,'PL1(Full)'!$P983&gt;60),"x",""))</f>
        <v>x</v>
      </c>
      <c r="U983" s="34" t="str">
        <f>IF(AND('PL1(Full)'!$H983="Thôn",'PL1(Full)'!$I983&lt;75),"x",IF(AND('PL1(Full)'!$H983="Tổ",'PL1(Full)'!$I983&lt;100),"x","-"))</f>
        <v>x</v>
      </c>
      <c r="V983" s="34" t="str">
        <f>IF(AND('PL1(Full)'!$H983="Thôn",'PL1(Full)'!$I983&lt;140),"x",IF(AND('PL1(Full)'!$H983="Tổ",'PL1(Full)'!$I983&lt;210),"x","-"))</f>
        <v>x</v>
      </c>
      <c r="W983" s="40" t="str">
        <f t="shared" si="175"/>
        <v>Loại 3</v>
      </c>
      <c r="X983" s="34"/>
    </row>
    <row r="984" spans="1:24" ht="15.75" customHeight="1">
      <c r="A984" s="30">
        <f>_xlfn.AGGREGATE(4,7,A$6:A983)+1</f>
        <v>738</v>
      </c>
      <c r="B984" s="31" t="str">
        <f t="shared" si="173"/>
        <v>H. Ngân Sơn</v>
      </c>
      <c r="C984" s="31" t="str">
        <f t="shared" si="177"/>
        <v>X. Cốc Đán</v>
      </c>
      <c r="D984" s="34"/>
      <c r="E984" s="34" t="s">
        <v>58</v>
      </c>
      <c r="F984" s="54" t="s">
        <v>1058</v>
      </c>
      <c r="G984" s="34"/>
      <c r="H984" s="34" t="str">
        <f>IF(LEFT('PL1(Full)'!$F984,4)="Thôn","Thôn","Tổ")</f>
        <v>Thôn</v>
      </c>
      <c r="I984" s="36">
        <v>30</v>
      </c>
      <c r="J984" s="36">
        <v>141</v>
      </c>
      <c r="K984" s="36">
        <v>30</v>
      </c>
      <c r="L984" s="37">
        <f t="shared" si="0"/>
        <v>100</v>
      </c>
      <c r="M984" s="35">
        <v>7</v>
      </c>
      <c r="N984" s="38">
        <f t="shared" si="1"/>
        <v>23.333333333333332</v>
      </c>
      <c r="O984" s="35">
        <v>7</v>
      </c>
      <c r="P984" s="38">
        <f t="shared" si="2"/>
        <v>100</v>
      </c>
      <c r="Q984" s="39" t="s">
        <v>52</v>
      </c>
      <c r="R984" s="39" t="str">
        <f t="shared" si="3"/>
        <v>C</v>
      </c>
      <c r="S984" s="34" t="s">
        <v>60</v>
      </c>
      <c r="T984" s="34" t="str">
        <f>IF('PL1(Full)'!$N984&gt;=20,"x",IF(AND('PL1(Full)'!$N984&gt;=15,'PL1(Full)'!$P984&gt;60),"x",""))</f>
        <v>x</v>
      </c>
      <c r="U984" s="34" t="str">
        <f>IF(AND('PL1(Full)'!$H984="Thôn",'PL1(Full)'!$I984&lt;75),"x",IF(AND('PL1(Full)'!$H984="Tổ",'PL1(Full)'!$I984&lt;100),"x","-"))</f>
        <v>x</v>
      </c>
      <c r="V984" s="34" t="str">
        <f>IF(AND('PL1(Full)'!$H984="Thôn",'PL1(Full)'!$I984&lt;140),"x",IF(AND('PL1(Full)'!$H984="Tổ",'PL1(Full)'!$I984&lt;210),"x","-"))</f>
        <v>x</v>
      </c>
      <c r="W984" s="40" t="str">
        <f t="shared" si="175"/>
        <v>Loại 3</v>
      </c>
      <c r="X984" s="34"/>
    </row>
    <row r="985" spans="1:24" ht="15.75" customHeight="1">
      <c r="A985" s="30">
        <f>_xlfn.AGGREGATE(4,7,A$6:A984)+1</f>
        <v>739</v>
      </c>
      <c r="B985" s="31" t="str">
        <f t="shared" si="173"/>
        <v>H. Ngân Sơn</v>
      </c>
      <c r="C985" s="31" t="str">
        <f t="shared" si="177"/>
        <v>X. Cốc Đán</v>
      </c>
      <c r="D985" s="34"/>
      <c r="E985" s="34" t="s">
        <v>58</v>
      </c>
      <c r="F985" s="54" t="s">
        <v>1059</v>
      </c>
      <c r="G985" s="34"/>
      <c r="H985" s="34" t="str">
        <f>IF(LEFT('PL1(Full)'!$F985,4)="Thôn","Thôn","Tổ")</f>
        <v>Thôn</v>
      </c>
      <c r="I985" s="36">
        <v>53</v>
      </c>
      <c r="J985" s="36">
        <v>221</v>
      </c>
      <c r="K985" s="36">
        <v>53</v>
      </c>
      <c r="L985" s="37">
        <f t="shared" si="0"/>
        <v>100</v>
      </c>
      <c r="M985" s="36">
        <v>12</v>
      </c>
      <c r="N985" s="38">
        <f t="shared" si="1"/>
        <v>22.641509433962263</v>
      </c>
      <c r="O985" s="36">
        <v>12</v>
      </c>
      <c r="P985" s="38">
        <f t="shared" si="2"/>
        <v>100</v>
      </c>
      <c r="Q985" s="39" t="s">
        <v>63</v>
      </c>
      <c r="R985" s="39" t="str">
        <f t="shared" si="3"/>
        <v>X</v>
      </c>
      <c r="S985" s="34" t="s">
        <v>60</v>
      </c>
      <c r="T985" s="34" t="str">
        <f>IF('PL1(Full)'!$N985&gt;=20,"x",IF(AND('PL1(Full)'!$N985&gt;=15,'PL1(Full)'!$P985&gt;60),"x",""))</f>
        <v>x</v>
      </c>
      <c r="U985" s="34" t="str">
        <f>IF(AND('PL1(Full)'!$H985="Thôn",'PL1(Full)'!$I985&lt;75),"x",IF(AND('PL1(Full)'!$H985="Tổ",'PL1(Full)'!$I985&lt;100),"x","-"))</f>
        <v>x</v>
      </c>
      <c r="V985" s="34" t="str">
        <f>IF(AND('PL1(Full)'!$H985="Thôn",'PL1(Full)'!$I985&lt;140),"x",IF(AND('PL1(Full)'!$H985="Tổ",'PL1(Full)'!$I985&lt;210),"x","-"))</f>
        <v>x</v>
      </c>
      <c r="W985" s="40" t="str">
        <f t="shared" si="175"/>
        <v>Loại 3</v>
      </c>
      <c r="X985" s="34"/>
    </row>
    <row r="986" spans="1:24" ht="15.75" customHeight="1">
      <c r="A986" s="30">
        <f>_xlfn.AGGREGATE(4,7,A$6:A985)+1</f>
        <v>740</v>
      </c>
      <c r="B986" s="31" t="str">
        <f t="shared" si="173"/>
        <v>H. Ngân Sơn</v>
      </c>
      <c r="C986" s="31" t="str">
        <f t="shared" si="177"/>
        <v>X. Cốc Đán</v>
      </c>
      <c r="D986" s="34"/>
      <c r="E986" s="34" t="s">
        <v>58</v>
      </c>
      <c r="F986" s="54" t="s">
        <v>199</v>
      </c>
      <c r="G986" s="34"/>
      <c r="H986" s="34" t="str">
        <f>IF(LEFT('PL1(Full)'!$F986,4)="Thôn","Thôn","Tổ")</f>
        <v>Thôn</v>
      </c>
      <c r="I986" s="36">
        <v>15</v>
      </c>
      <c r="J986" s="36">
        <v>59</v>
      </c>
      <c r="K986" s="36">
        <v>15</v>
      </c>
      <c r="L986" s="37">
        <f t="shared" si="0"/>
        <v>100</v>
      </c>
      <c r="M986" s="35">
        <v>15</v>
      </c>
      <c r="N986" s="38">
        <f t="shared" si="1"/>
        <v>100</v>
      </c>
      <c r="O986" s="35">
        <v>15</v>
      </c>
      <c r="P986" s="38">
        <f t="shared" si="2"/>
        <v>100</v>
      </c>
      <c r="Q986" s="39" t="s">
        <v>52</v>
      </c>
      <c r="R986" s="39" t="str">
        <f t="shared" si="3"/>
        <v>C</v>
      </c>
      <c r="S986" s="34" t="s">
        <v>60</v>
      </c>
      <c r="T986" s="34" t="str">
        <f>IF('PL1(Full)'!$N986&gt;=20,"x",IF(AND('PL1(Full)'!$N986&gt;=15,'PL1(Full)'!$P986&gt;60),"x",""))</f>
        <v>x</v>
      </c>
      <c r="U986" s="34" t="str">
        <f>IF(AND('PL1(Full)'!$H986="Thôn",'PL1(Full)'!$I986&lt;75),"x",IF(AND('PL1(Full)'!$H986="Tổ",'PL1(Full)'!$I986&lt;100),"x","-"))</f>
        <v>x</v>
      </c>
      <c r="V986" s="34" t="str">
        <f>IF(AND('PL1(Full)'!$H986="Thôn",'PL1(Full)'!$I986&lt;140),"x",IF(AND('PL1(Full)'!$H986="Tổ",'PL1(Full)'!$I986&lt;210),"x","-"))</f>
        <v>x</v>
      </c>
      <c r="W986" s="40" t="str">
        <f t="shared" si="175"/>
        <v>Loại 3</v>
      </c>
      <c r="X986" s="34"/>
    </row>
    <row r="987" spans="1:24" ht="15.75" customHeight="1">
      <c r="A987" s="30">
        <f>_xlfn.AGGREGATE(4,7,A$6:A986)+1</f>
        <v>741</v>
      </c>
      <c r="B987" s="31" t="str">
        <f t="shared" si="173"/>
        <v>H. Ngân Sơn</v>
      </c>
      <c r="C987" s="31" t="str">
        <f t="shared" si="177"/>
        <v>X. Cốc Đán</v>
      </c>
      <c r="D987" s="34"/>
      <c r="E987" s="34" t="s">
        <v>58</v>
      </c>
      <c r="F987" s="54" t="s">
        <v>1060</v>
      </c>
      <c r="G987" s="34"/>
      <c r="H987" s="34" t="str">
        <f>IF(LEFT('PL1(Full)'!$F987,4)="Thôn","Thôn","Tổ")</f>
        <v>Thôn</v>
      </c>
      <c r="I987" s="36">
        <v>27</v>
      </c>
      <c r="J987" s="36">
        <v>109</v>
      </c>
      <c r="K987" s="36">
        <v>27</v>
      </c>
      <c r="L987" s="37">
        <f t="shared" si="0"/>
        <v>100</v>
      </c>
      <c r="M987" s="35">
        <v>23</v>
      </c>
      <c r="N987" s="38">
        <f t="shared" si="1"/>
        <v>85.18518518518519</v>
      </c>
      <c r="O987" s="35">
        <v>23</v>
      </c>
      <c r="P987" s="38">
        <f t="shared" si="2"/>
        <v>100</v>
      </c>
      <c r="Q987" s="39" t="s">
        <v>52</v>
      </c>
      <c r="R987" s="39" t="str">
        <f t="shared" si="3"/>
        <v>C</v>
      </c>
      <c r="S987" s="34" t="s">
        <v>60</v>
      </c>
      <c r="T987" s="34" t="str">
        <f>IF('PL1(Full)'!$N987&gt;=20,"x",IF(AND('PL1(Full)'!$N987&gt;=15,'PL1(Full)'!$P987&gt;60),"x",""))</f>
        <v>x</v>
      </c>
      <c r="U987" s="34" t="str">
        <f>IF(AND('PL1(Full)'!$H987="Thôn",'PL1(Full)'!$I987&lt;75),"x",IF(AND('PL1(Full)'!$H987="Tổ",'PL1(Full)'!$I987&lt;100),"x","-"))</f>
        <v>x</v>
      </c>
      <c r="V987" s="34" t="str">
        <f>IF(AND('PL1(Full)'!$H987="Thôn",'PL1(Full)'!$I987&lt;140),"x",IF(AND('PL1(Full)'!$H987="Tổ",'PL1(Full)'!$I987&lt;210),"x","-"))</f>
        <v>x</v>
      </c>
      <c r="W987" s="40" t="str">
        <f t="shared" si="175"/>
        <v>Loại 3</v>
      </c>
      <c r="X987" s="34"/>
    </row>
    <row r="988" spans="1:24" ht="15.75" customHeight="1">
      <c r="A988" s="30">
        <f>_xlfn.AGGREGATE(4,7,A$6:A987)+1</f>
        <v>742</v>
      </c>
      <c r="B988" s="31" t="str">
        <f t="shared" si="173"/>
        <v>H. Ngân Sơn</v>
      </c>
      <c r="C988" s="31" t="str">
        <f t="shared" si="177"/>
        <v>X. Cốc Đán</v>
      </c>
      <c r="D988" s="34"/>
      <c r="E988" s="34" t="s">
        <v>58</v>
      </c>
      <c r="F988" s="54" t="s">
        <v>1061</v>
      </c>
      <c r="G988" s="34"/>
      <c r="H988" s="34" t="str">
        <f>IF(LEFT('PL1(Full)'!$F988,4)="Thôn","Thôn","Tổ")</f>
        <v>Thôn</v>
      </c>
      <c r="I988" s="36">
        <v>10</v>
      </c>
      <c r="J988" s="36">
        <v>50</v>
      </c>
      <c r="K988" s="36">
        <v>10</v>
      </c>
      <c r="L988" s="37">
        <f t="shared" si="0"/>
        <v>100</v>
      </c>
      <c r="M988" s="36">
        <v>9</v>
      </c>
      <c r="N988" s="38">
        <f t="shared" si="1"/>
        <v>90</v>
      </c>
      <c r="O988" s="36">
        <v>9</v>
      </c>
      <c r="P988" s="38">
        <f t="shared" si="2"/>
        <v>100</v>
      </c>
      <c r="Q988" s="39" t="s">
        <v>52</v>
      </c>
      <c r="R988" s="39" t="str">
        <f t="shared" si="3"/>
        <v>C</v>
      </c>
      <c r="S988" s="34" t="s">
        <v>60</v>
      </c>
      <c r="T988" s="34" t="str">
        <f>IF('PL1(Full)'!$N988&gt;=20,"x",IF(AND('PL1(Full)'!$N988&gt;=15,'PL1(Full)'!$P988&gt;60),"x",""))</f>
        <v>x</v>
      </c>
      <c r="U988" s="34" t="str">
        <f>IF(AND('PL1(Full)'!$H988="Thôn",'PL1(Full)'!$I988&lt;75),"x",IF(AND('PL1(Full)'!$H988="Tổ",'PL1(Full)'!$I988&lt;100),"x","-"))</f>
        <v>x</v>
      </c>
      <c r="V988" s="34" t="str">
        <f>IF(AND('PL1(Full)'!$H988="Thôn",'PL1(Full)'!$I988&lt;140),"x",IF(AND('PL1(Full)'!$H988="Tổ",'PL1(Full)'!$I988&lt;210),"x","-"))</f>
        <v>x</v>
      </c>
      <c r="W988" s="40" t="str">
        <f t="shared" si="175"/>
        <v>Loại 3</v>
      </c>
      <c r="X988" s="34"/>
    </row>
    <row r="989" spans="1:24" ht="15.75" customHeight="1">
      <c r="A989" s="30">
        <f>_xlfn.AGGREGATE(4,7,A$6:A988)+1</f>
        <v>743</v>
      </c>
      <c r="B989" s="31" t="str">
        <f t="shared" si="173"/>
        <v>H. Ngân Sơn</v>
      </c>
      <c r="C989" s="31" t="str">
        <f t="shared" si="177"/>
        <v>X. Cốc Đán</v>
      </c>
      <c r="D989" s="34"/>
      <c r="E989" s="34" t="s">
        <v>58</v>
      </c>
      <c r="F989" s="54" t="s">
        <v>1062</v>
      </c>
      <c r="G989" s="34"/>
      <c r="H989" s="34" t="str">
        <f>IF(LEFT('PL1(Full)'!$F989,4)="Thôn","Thôn","Tổ")</f>
        <v>Thôn</v>
      </c>
      <c r="I989" s="36">
        <v>20</v>
      </c>
      <c r="J989" s="36">
        <v>93</v>
      </c>
      <c r="K989" s="36">
        <v>20</v>
      </c>
      <c r="L989" s="37">
        <f t="shared" si="0"/>
        <v>100</v>
      </c>
      <c r="M989" s="36">
        <v>20</v>
      </c>
      <c r="N989" s="38">
        <f t="shared" si="1"/>
        <v>100</v>
      </c>
      <c r="O989" s="36">
        <v>20</v>
      </c>
      <c r="P989" s="38">
        <f t="shared" si="2"/>
        <v>100</v>
      </c>
      <c r="Q989" s="39" t="s">
        <v>52</v>
      </c>
      <c r="R989" s="39" t="str">
        <f t="shared" si="3"/>
        <v>C</v>
      </c>
      <c r="S989" s="34" t="s">
        <v>60</v>
      </c>
      <c r="T989" s="34" t="str">
        <f>IF('PL1(Full)'!$N989&gt;=20,"x",IF(AND('PL1(Full)'!$N989&gt;=15,'PL1(Full)'!$P989&gt;60),"x",""))</f>
        <v>x</v>
      </c>
      <c r="U989" s="34" t="str">
        <f>IF(AND('PL1(Full)'!$H989="Thôn",'PL1(Full)'!$I989&lt;75),"x",IF(AND('PL1(Full)'!$H989="Tổ",'PL1(Full)'!$I989&lt;100),"x","-"))</f>
        <v>x</v>
      </c>
      <c r="V989" s="34" t="str">
        <f>IF(AND('PL1(Full)'!$H989="Thôn",'PL1(Full)'!$I989&lt;140),"x",IF(AND('PL1(Full)'!$H989="Tổ",'PL1(Full)'!$I989&lt;210),"x","-"))</f>
        <v>x</v>
      </c>
      <c r="W989" s="40" t="str">
        <f t="shared" si="175"/>
        <v>Loại 3</v>
      </c>
      <c r="X989" s="34"/>
    </row>
    <row r="990" spans="1:24" ht="15.75" customHeight="1">
      <c r="A990" s="30">
        <f>_xlfn.AGGREGATE(4,7,A$6:A989)+1</f>
        <v>744</v>
      </c>
      <c r="B990" s="31" t="str">
        <f t="shared" si="173"/>
        <v>H. Ngân Sơn</v>
      </c>
      <c r="C990" s="31" t="str">
        <f t="shared" si="177"/>
        <v>X. Cốc Đán</v>
      </c>
      <c r="D990" s="34"/>
      <c r="E990" s="34" t="s">
        <v>58</v>
      </c>
      <c r="F990" s="54" t="s">
        <v>1063</v>
      </c>
      <c r="G990" s="34"/>
      <c r="H990" s="34" t="str">
        <f>IF(LEFT('PL1(Full)'!$F990,4)="Thôn","Thôn","Tổ")</f>
        <v>Thôn</v>
      </c>
      <c r="I990" s="36">
        <v>25</v>
      </c>
      <c r="J990" s="36">
        <v>102</v>
      </c>
      <c r="K990" s="36">
        <v>25</v>
      </c>
      <c r="L990" s="37">
        <f t="shared" si="0"/>
        <v>100</v>
      </c>
      <c r="M990" s="36">
        <v>23</v>
      </c>
      <c r="N990" s="38">
        <f t="shared" si="1"/>
        <v>92</v>
      </c>
      <c r="O990" s="36">
        <v>23</v>
      </c>
      <c r="P990" s="38">
        <f t="shared" si="2"/>
        <v>100</v>
      </c>
      <c r="Q990" s="39" t="s">
        <v>63</v>
      </c>
      <c r="R990" s="39" t="str">
        <f t="shared" si="3"/>
        <v>X</v>
      </c>
      <c r="S990" s="34" t="s">
        <v>60</v>
      </c>
      <c r="T990" s="34" t="str">
        <f>IF('PL1(Full)'!$N990&gt;=20,"x",IF(AND('PL1(Full)'!$N990&gt;=15,'PL1(Full)'!$P990&gt;60),"x",""))</f>
        <v>x</v>
      </c>
      <c r="U990" s="34" t="str">
        <f>IF(AND('PL1(Full)'!$H990="Thôn",'PL1(Full)'!$I990&lt;75),"x",IF(AND('PL1(Full)'!$H990="Tổ",'PL1(Full)'!$I990&lt;100),"x","-"))</f>
        <v>x</v>
      </c>
      <c r="V990" s="34" t="str">
        <f>IF(AND('PL1(Full)'!$H990="Thôn",'PL1(Full)'!$I990&lt;140),"x",IF(AND('PL1(Full)'!$H990="Tổ",'PL1(Full)'!$I990&lt;210),"x","-"))</f>
        <v>x</v>
      </c>
      <c r="W990" s="40" t="str">
        <f t="shared" si="175"/>
        <v>Loại 3</v>
      </c>
      <c r="X990" s="34"/>
    </row>
    <row r="991" spans="1:24" ht="15.75" customHeight="1">
      <c r="A991" s="41">
        <f>_xlfn.AGGREGATE(4,7,A$6:A990)+1</f>
        <v>745</v>
      </c>
      <c r="B991" s="42" t="str">
        <f t="shared" si="173"/>
        <v>H. Ngân Sơn</v>
      </c>
      <c r="C991" s="42" t="str">
        <f t="shared" si="177"/>
        <v>X. Cốc Đán</v>
      </c>
      <c r="D991" s="50"/>
      <c r="E991" s="50" t="s">
        <v>58</v>
      </c>
      <c r="F991" s="55" t="s">
        <v>1064</v>
      </c>
      <c r="G991" s="50"/>
      <c r="H991" s="50" t="str">
        <f>IF(LEFT('PL1(Full)'!$F991,4)="Thôn","Thôn","Tổ")</f>
        <v>Thôn</v>
      </c>
      <c r="I991" s="46">
        <v>23</v>
      </c>
      <c r="J991" s="46">
        <v>109</v>
      </c>
      <c r="K991" s="46">
        <v>23</v>
      </c>
      <c r="L991" s="47">
        <f t="shared" si="0"/>
        <v>100</v>
      </c>
      <c r="M991" s="46">
        <v>23</v>
      </c>
      <c r="N991" s="48">
        <f t="shared" si="1"/>
        <v>100</v>
      </c>
      <c r="O991" s="46">
        <v>23</v>
      </c>
      <c r="P991" s="48">
        <f t="shared" si="2"/>
        <v>100</v>
      </c>
      <c r="Q991" s="39" t="s">
        <v>52</v>
      </c>
      <c r="R991" s="56" t="str">
        <f t="shared" si="3"/>
        <v>C</v>
      </c>
      <c r="S991" s="50" t="s">
        <v>60</v>
      </c>
      <c r="T991" s="50" t="str">
        <f>IF('PL1(Full)'!$N991&gt;=20,"x",IF(AND('PL1(Full)'!$N991&gt;=15,'PL1(Full)'!$P991&gt;60),"x",""))</f>
        <v>x</v>
      </c>
      <c r="U991" s="50" t="str">
        <f>IF(AND('PL1(Full)'!$H991="Thôn",'PL1(Full)'!$I991&lt;75),"x",IF(AND('PL1(Full)'!$H991="Tổ",'PL1(Full)'!$I991&lt;100),"x","-"))</f>
        <v>x</v>
      </c>
      <c r="V991" s="34" t="str">
        <f>IF(AND('PL1(Full)'!$H991="Thôn",'PL1(Full)'!$I991&lt;140),"x",IF(AND('PL1(Full)'!$H991="Tổ",'PL1(Full)'!$I991&lt;210),"x","-"))</f>
        <v>x</v>
      </c>
      <c r="W991" s="51" t="str">
        <f t="shared" si="175"/>
        <v>Loại 3</v>
      </c>
      <c r="X991" s="50"/>
    </row>
    <row r="992" spans="1:24" ht="15.75" hidden="1" customHeight="1">
      <c r="A992" s="52">
        <f>_xlfn.AGGREGATE(4,7,A$6:A991)+1</f>
        <v>746</v>
      </c>
      <c r="B992" s="14" t="str">
        <f t="shared" si="173"/>
        <v>H. Ngân Sơn</v>
      </c>
      <c r="C992" s="14" t="s">
        <v>1065</v>
      </c>
      <c r="D992" s="25" t="s">
        <v>58</v>
      </c>
      <c r="E992" s="25" t="s">
        <v>58</v>
      </c>
      <c r="F992" s="14" t="s">
        <v>457</v>
      </c>
      <c r="G992" s="25"/>
      <c r="H992" s="25" t="str">
        <f>IF(LEFT('PL1(Full)'!$F992,4)="Thôn","Thôn","Tổ")</f>
        <v>Thôn</v>
      </c>
      <c r="I992" s="20">
        <v>79</v>
      </c>
      <c r="J992" s="20">
        <v>310</v>
      </c>
      <c r="K992" s="20">
        <v>77</v>
      </c>
      <c r="L992" s="21">
        <f t="shared" si="0"/>
        <v>97.468354430379748</v>
      </c>
      <c r="M992" s="20">
        <v>14</v>
      </c>
      <c r="N992" s="22">
        <f t="shared" si="1"/>
        <v>17.721518987341771</v>
      </c>
      <c r="O992" s="20">
        <v>14</v>
      </c>
      <c r="P992" s="22">
        <f t="shared" si="2"/>
        <v>100</v>
      </c>
      <c r="Q992" s="23" t="s">
        <v>63</v>
      </c>
      <c r="R992" s="24" t="str">
        <f t="shared" si="3"/>
        <v>X</v>
      </c>
      <c r="S992" s="25" t="s">
        <v>60</v>
      </c>
      <c r="T992" s="26" t="str">
        <f>IF('PL1(Full)'!$N992&gt;=20,"x",IF(AND('PL1(Full)'!$N992&gt;=15,'PL1(Full)'!$P992&gt;60),"x",""))</f>
        <v>x</v>
      </c>
      <c r="U992" s="27" t="str">
        <f>IF(AND('PL1(Full)'!$H992="Thôn",'PL1(Full)'!$I992&lt;75),"x",IF(AND('PL1(Full)'!$H992="Tổ",'PL1(Full)'!$I992&lt;100),"x","-"))</f>
        <v>-</v>
      </c>
      <c r="V992" s="28" t="str">
        <f>IF(AND('PL1(Full)'!$H992="Thôn",'PL1(Full)'!$I992&lt;140),"x",IF(AND('PL1(Full)'!$H992="Tổ",'PL1(Full)'!$I992&lt;210),"x","-"))</f>
        <v>x</v>
      </c>
      <c r="W992" s="29" t="str">
        <f t="shared" si="175"/>
        <v>Loại 3</v>
      </c>
      <c r="X992" s="25"/>
    </row>
    <row r="993" spans="1:24" ht="15.75" customHeight="1">
      <c r="A993" s="30">
        <f>_xlfn.AGGREGATE(4,7,A$6:A992)+1</f>
        <v>746</v>
      </c>
      <c r="B993" s="31" t="str">
        <f t="shared" si="173"/>
        <v>H. Ngân Sơn</v>
      </c>
      <c r="C993" s="31" t="str">
        <f t="shared" ref="C993:C999" si="178">C992</f>
        <v>X. Đức Vân</v>
      </c>
      <c r="D993" s="34"/>
      <c r="E993" s="34" t="s">
        <v>58</v>
      </c>
      <c r="F993" s="31" t="s">
        <v>1066</v>
      </c>
      <c r="G993" s="34"/>
      <c r="H993" s="34" t="str">
        <f>IF(LEFT('PL1(Full)'!$F993,4)="Thôn","Thôn","Tổ")</f>
        <v>Thôn</v>
      </c>
      <c r="I993" s="36">
        <v>52</v>
      </c>
      <c r="J993" s="36">
        <v>201</v>
      </c>
      <c r="K993" s="36">
        <v>49</v>
      </c>
      <c r="L993" s="37">
        <f t="shared" si="0"/>
        <v>94.230769230769226</v>
      </c>
      <c r="M993" s="36">
        <v>15</v>
      </c>
      <c r="N993" s="38">
        <f t="shared" si="1"/>
        <v>28.846153846153847</v>
      </c>
      <c r="O993" s="36">
        <v>15</v>
      </c>
      <c r="P993" s="38">
        <f t="shared" si="2"/>
        <v>100</v>
      </c>
      <c r="Q993" s="39" t="s">
        <v>63</v>
      </c>
      <c r="R993" s="39" t="str">
        <f t="shared" si="3"/>
        <v>X</v>
      </c>
      <c r="S993" s="34" t="s">
        <v>60</v>
      </c>
      <c r="T993" s="34" t="str">
        <f>IF('PL1(Full)'!$N993&gt;=20,"x",IF(AND('PL1(Full)'!$N993&gt;=15,'PL1(Full)'!$P993&gt;60),"x",""))</f>
        <v>x</v>
      </c>
      <c r="U993" s="34" t="str">
        <f>IF(AND('PL1(Full)'!$H993="Thôn",'PL1(Full)'!$I993&lt;75),"x",IF(AND('PL1(Full)'!$H993="Tổ",'PL1(Full)'!$I993&lt;100),"x","-"))</f>
        <v>x</v>
      </c>
      <c r="V993" s="34" t="str">
        <f>IF(AND('PL1(Full)'!$H993="Thôn",'PL1(Full)'!$I993&lt;140),"x",IF(AND('PL1(Full)'!$H993="Tổ",'PL1(Full)'!$I993&lt;210),"x","-"))</f>
        <v>x</v>
      </c>
      <c r="W993" s="40" t="str">
        <f t="shared" si="175"/>
        <v>Loại 3</v>
      </c>
      <c r="X993" s="34"/>
    </row>
    <row r="994" spans="1:24" ht="15.75" customHeight="1">
      <c r="A994" s="30">
        <f>_xlfn.AGGREGATE(4,7,A$6:A993)+1</f>
        <v>747</v>
      </c>
      <c r="B994" s="31" t="str">
        <f t="shared" si="173"/>
        <v>H. Ngân Sơn</v>
      </c>
      <c r="C994" s="31" t="str">
        <f t="shared" si="178"/>
        <v>X. Đức Vân</v>
      </c>
      <c r="D994" s="34"/>
      <c r="E994" s="34" t="s">
        <v>58</v>
      </c>
      <c r="F994" s="31" t="s">
        <v>1067</v>
      </c>
      <c r="G994" s="34"/>
      <c r="H994" s="34" t="str">
        <f>IF(LEFT('PL1(Full)'!$F994,4)="Thôn","Thôn","Tổ")</f>
        <v>Thôn</v>
      </c>
      <c r="I994" s="36">
        <v>43</v>
      </c>
      <c r="J994" s="36">
        <v>176</v>
      </c>
      <c r="K994" s="36">
        <v>42</v>
      </c>
      <c r="L994" s="37">
        <f t="shared" si="0"/>
        <v>97.674418604651166</v>
      </c>
      <c r="M994" s="36">
        <v>9</v>
      </c>
      <c r="N994" s="38">
        <f t="shared" si="1"/>
        <v>20.930232558139537</v>
      </c>
      <c r="O994" s="36">
        <v>9</v>
      </c>
      <c r="P994" s="38">
        <f t="shared" si="2"/>
        <v>100</v>
      </c>
      <c r="Q994" s="39" t="s">
        <v>63</v>
      </c>
      <c r="R994" s="39" t="str">
        <f t="shared" si="3"/>
        <v>X</v>
      </c>
      <c r="S994" s="34" t="s">
        <v>60</v>
      </c>
      <c r="T994" s="34" t="str">
        <f>IF('PL1(Full)'!$N994&gt;=20,"x",IF(AND('PL1(Full)'!$N994&gt;=15,'PL1(Full)'!$P994&gt;60),"x",""))</f>
        <v>x</v>
      </c>
      <c r="U994" s="34" t="str">
        <f>IF(AND('PL1(Full)'!$H994="Thôn",'PL1(Full)'!$I994&lt;75),"x",IF(AND('PL1(Full)'!$H994="Tổ",'PL1(Full)'!$I994&lt;100),"x","-"))</f>
        <v>x</v>
      </c>
      <c r="V994" s="34" t="str">
        <f>IF(AND('PL1(Full)'!$H994="Thôn",'PL1(Full)'!$I994&lt;140),"x",IF(AND('PL1(Full)'!$H994="Tổ",'PL1(Full)'!$I994&lt;210),"x","-"))</f>
        <v>x</v>
      </c>
      <c r="W994" s="40" t="str">
        <f t="shared" si="175"/>
        <v>Loại 3</v>
      </c>
      <c r="X994" s="34"/>
    </row>
    <row r="995" spans="1:24" ht="15.75" customHeight="1">
      <c r="A995" s="30">
        <f>_xlfn.AGGREGATE(4,7,A$6:A994)+1</f>
        <v>748</v>
      </c>
      <c r="B995" s="31" t="str">
        <f t="shared" si="173"/>
        <v>H. Ngân Sơn</v>
      </c>
      <c r="C995" s="31" t="str">
        <f t="shared" si="178"/>
        <v>X. Đức Vân</v>
      </c>
      <c r="D995" s="34"/>
      <c r="E995" s="34" t="s">
        <v>58</v>
      </c>
      <c r="F995" s="31" t="s">
        <v>1068</v>
      </c>
      <c r="G995" s="34"/>
      <c r="H995" s="34" t="str">
        <f>IF(LEFT('PL1(Full)'!$F995,4)="Thôn","Thôn","Tổ")</f>
        <v>Thôn</v>
      </c>
      <c r="I995" s="36">
        <v>43</v>
      </c>
      <c r="J995" s="36">
        <v>184</v>
      </c>
      <c r="K995" s="36">
        <v>42</v>
      </c>
      <c r="L995" s="37">
        <f t="shared" si="0"/>
        <v>97.674418604651166</v>
      </c>
      <c r="M995" s="36">
        <v>9</v>
      </c>
      <c r="N995" s="38">
        <f t="shared" si="1"/>
        <v>20.930232558139537</v>
      </c>
      <c r="O995" s="36">
        <v>9</v>
      </c>
      <c r="P995" s="38">
        <f t="shared" si="2"/>
        <v>100</v>
      </c>
      <c r="Q995" s="39" t="s">
        <v>63</v>
      </c>
      <c r="R995" s="39" t="str">
        <f t="shared" si="3"/>
        <v>X</v>
      </c>
      <c r="S995" s="34" t="s">
        <v>60</v>
      </c>
      <c r="T995" s="34" t="str">
        <f>IF('PL1(Full)'!$N995&gt;=20,"x",IF(AND('PL1(Full)'!$N995&gt;=15,'PL1(Full)'!$P995&gt;60),"x",""))</f>
        <v>x</v>
      </c>
      <c r="U995" s="34" t="str">
        <f>IF(AND('PL1(Full)'!$H995="Thôn",'PL1(Full)'!$I995&lt;75),"x",IF(AND('PL1(Full)'!$H995="Tổ",'PL1(Full)'!$I995&lt;100),"x","-"))</f>
        <v>x</v>
      </c>
      <c r="V995" s="34" t="str">
        <f>IF(AND('PL1(Full)'!$H995="Thôn",'PL1(Full)'!$I995&lt;140),"x",IF(AND('PL1(Full)'!$H995="Tổ",'PL1(Full)'!$I995&lt;210),"x","-"))</f>
        <v>x</v>
      </c>
      <c r="W995" s="40" t="str">
        <f t="shared" si="175"/>
        <v>Loại 3</v>
      </c>
      <c r="X995" s="34"/>
    </row>
    <row r="996" spans="1:24" ht="15.75" customHeight="1">
      <c r="A996" s="30">
        <f>_xlfn.AGGREGATE(4,7,A$6:A995)+1</f>
        <v>749</v>
      </c>
      <c r="B996" s="31" t="str">
        <f t="shared" si="173"/>
        <v>H. Ngân Sơn</v>
      </c>
      <c r="C996" s="31" t="str">
        <f t="shared" si="178"/>
        <v>X. Đức Vân</v>
      </c>
      <c r="D996" s="34"/>
      <c r="E996" s="34" t="s">
        <v>58</v>
      </c>
      <c r="F996" s="31" t="s">
        <v>1069</v>
      </c>
      <c r="G996" s="34"/>
      <c r="H996" s="34" t="str">
        <f>IF(LEFT('PL1(Full)'!$F996,4)="Thôn","Thôn","Tổ")</f>
        <v>Thôn</v>
      </c>
      <c r="I996" s="36">
        <v>36</v>
      </c>
      <c r="J996" s="36">
        <v>121</v>
      </c>
      <c r="K996" s="36">
        <v>32</v>
      </c>
      <c r="L996" s="37">
        <f t="shared" si="0"/>
        <v>88.888888888888886</v>
      </c>
      <c r="M996" s="36">
        <v>18</v>
      </c>
      <c r="N996" s="38">
        <f t="shared" si="1"/>
        <v>50</v>
      </c>
      <c r="O996" s="36">
        <v>16</v>
      </c>
      <c r="P996" s="38">
        <f t="shared" si="2"/>
        <v>88.888888888888886</v>
      </c>
      <c r="Q996" s="39" t="s">
        <v>63</v>
      </c>
      <c r="R996" s="39" t="str">
        <f t="shared" si="3"/>
        <v>X</v>
      </c>
      <c r="S996" s="34" t="s">
        <v>60</v>
      </c>
      <c r="T996" s="34" t="str">
        <f>IF('PL1(Full)'!$N996&gt;=20,"x",IF(AND('PL1(Full)'!$N996&gt;=15,'PL1(Full)'!$P996&gt;60),"x",""))</f>
        <v>x</v>
      </c>
      <c r="U996" s="34" t="str">
        <f>IF(AND('PL1(Full)'!$H996="Thôn",'PL1(Full)'!$I996&lt;75),"x",IF(AND('PL1(Full)'!$H996="Tổ",'PL1(Full)'!$I996&lt;100),"x","-"))</f>
        <v>x</v>
      </c>
      <c r="V996" s="34" t="str">
        <f>IF(AND('PL1(Full)'!$H996="Thôn",'PL1(Full)'!$I996&lt;140),"x",IF(AND('PL1(Full)'!$H996="Tổ",'PL1(Full)'!$I996&lt;210),"x","-"))</f>
        <v>x</v>
      </c>
      <c r="W996" s="40" t="str">
        <f t="shared" si="175"/>
        <v>Loại 3</v>
      </c>
      <c r="X996" s="34"/>
    </row>
    <row r="997" spans="1:24" ht="15.75" customHeight="1">
      <c r="A997" s="30">
        <f>_xlfn.AGGREGATE(4,7,A$6:A996)+1</f>
        <v>750</v>
      </c>
      <c r="B997" s="31" t="str">
        <f t="shared" si="173"/>
        <v>H. Ngân Sơn</v>
      </c>
      <c r="C997" s="31" t="str">
        <f t="shared" si="178"/>
        <v>X. Đức Vân</v>
      </c>
      <c r="D997" s="34"/>
      <c r="E997" s="34" t="s">
        <v>58</v>
      </c>
      <c r="F997" s="31" t="s">
        <v>1070</v>
      </c>
      <c r="G997" s="34"/>
      <c r="H997" s="34" t="str">
        <f>IF(LEFT('PL1(Full)'!$F997,4)="Thôn","Thôn","Tổ")</f>
        <v>Thôn</v>
      </c>
      <c r="I997" s="36">
        <v>37</v>
      </c>
      <c r="J997" s="36">
        <v>154</v>
      </c>
      <c r="K997" s="36">
        <v>37</v>
      </c>
      <c r="L997" s="37">
        <f t="shared" si="0"/>
        <v>100</v>
      </c>
      <c r="M997" s="36">
        <v>8</v>
      </c>
      <c r="N997" s="38">
        <f t="shared" si="1"/>
        <v>21.621621621621621</v>
      </c>
      <c r="O997" s="36">
        <v>8</v>
      </c>
      <c r="P997" s="38">
        <f t="shared" si="2"/>
        <v>100</v>
      </c>
      <c r="Q997" s="39" t="s">
        <v>63</v>
      </c>
      <c r="R997" s="39" t="str">
        <f t="shared" si="3"/>
        <v>X</v>
      </c>
      <c r="S997" s="34" t="s">
        <v>60</v>
      </c>
      <c r="T997" s="34" t="str">
        <f>IF('PL1(Full)'!$N997&gt;=20,"x",IF(AND('PL1(Full)'!$N997&gt;=15,'PL1(Full)'!$P997&gt;60),"x",""))</f>
        <v>x</v>
      </c>
      <c r="U997" s="34" t="str">
        <f>IF(AND('PL1(Full)'!$H997="Thôn",'PL1(Full)'!$I997&lt;75),"x",IF(AND('PL1(Full)'!$H997="Tổ",'PL1(Full)'!$I997&lt;100),"x","-"))</f>
        <v>x</v>
      </c>
      <c r="V997" s="34" t="str">
        <f>IF(AND('PL1(Full)'!$H997="Thôn",'PL1(Full)'!$I997&lt;140),"x",IF(AND('PL1(Full)'!$H997="Tổ",'PL1(Full)'!$I997&lt;210),"x","-"))</f>
        <v>x</v>
      </c>
      <c r="W997" s="40" t="str">
        <f t="shared" si="175"/>
        <v>Loại 3</v>
      </c>
      <c r="X997" s="34"/>
    </row>
    <row r="998" spans="1:24" ht="15.75" customHeight="1">
      <c r="A998" s="30">
        <f>_xlfn.AGGREGATE(4,7,A$6:A997)+1</f>
        <v>751</v>
      </c>
      <c r="B998" s="31" t="str">
        <f t="shared" si="173"/>
        <v>H. Ngân Sơn</v>
      </c>
      <c r="C998" s="31" t="str">
        <f t="shared" si="178"/>
        <v>X. Đức Vân</v>
      </c>
      <c r="D998" s="34"/>
      <c r="E998" s="34" t="s">
        <v>58</v>
      </c>
      <c r="F998" s="31" t="s">
        <v>1071</v>
      </c>
      <c r="G998" s="34"/>
      <c r="H998" s="34" t="str">
        <f>IF(LEFT('PL1(Full)'!$F998,4)="Thôn","Thôn","Tổ")</f>
        <v>Thôn</v>
      </c>
      <c r="I998" s="36">
        <v>57</v>
      </c>
      <c r="J998" s="36">
        <v>220</v>
      </c>
      <c r="K998" s="36">
        <v>57</v>
      </c>
      <c r="L998" s="37">
        <f t="shared" si="0"/>
        <v>100</v>
      </c>
      <c r="M998" s="36">
        <v>25</v>
      </c>
      <c r="N998" s="38">
        <f t="shared" si="1"/>
        <v>43.859649122807021</v>
      </c>
      <c r="O998" s="36">
        <v>25</v>
      </c>
      <c r="P998" s="38">
        <f t="shared" si="2"/>
        <v>100</v>
      </c>
      <c r="Q998" s="39" t="s">
        <v>63</v>
      </c>
      <c r="R998" s="39" t="str">
        <f t="shared" si="3"/>
        <v>X</v>
      </c>
      <c r="S998" s="34" t="s">
        <v>60</v>
      </c>
      <c r="T998" s="34" t="str">
        <f>IF('PL1(Full)'!$N998&gt;=20,"x",IF(AND('PL1(Full)'!$N998&gt;=15,'PL1(Full)'!$P998&gt;60),"x",""))</f>
        <v>x</v>
      </c>
      <c r="U998" s="34" t="str">
        <f>IF(AND('PL1(Full)'!$H998="Thôn",'PL1(Full)'!$I998&lt;75),"x",IF(AND('PL1(Full)'!$H998="Tổ",'PL1(Full)'!$I998&lt;100),"x","-"))</f>
        <v>x</v>
      </c>
      <c r="V998" s="34" t="str">
        <f>IF(AND('PL1(Full)'!$H998="Thôn",'PL1(Full)'!$I998&lt;140),"x",IF(AND('PL1(Full)'!$H998="Tổ",'PL1(Full)'!$I998&lt;210),"x","-"))</f>
        <v>x</v>
      </c>
      <c r="W998" s="40" t="str">
        <f t="shared" si="175"/>
        <v>Loại 3</v>
      </c>
      <c r="X998" s="34"/>
    </row>
    <row r="999" spans="1:24" ht="15.75" customHeight="1">
      <c r="A999" s="41">
        <f>_xlfn.AGGREGATE(4,7,A$6:A998)+1</f>
        <v>752</v>
      </c>
      <c r="B999" s="42" t="str">
        <f t="shared" si="173"/>
        <v>H. Ngân Sơn</v>
      </c>
      <c r="C999" s="42" t="str">
        <f t="shared" si="178"/>
        <v>X. Đức Vân</v>
      </c>
      <c r="D999" s="50"/>
      <c r="E999" s="50" t="s">
        <v>58</v>
      </c>
      <c r="F999" s="42" t="s">
        <v>385</v>
      </c>
      <c r="G999" s="50"/>
      <c r="H999" s="50" t="str">
        <f>IF(LEFT('PL1(Full)'!$F999,4)="Thôn","Thôn","Tổ")</f>
        <v>Thôn</v>
      </c>
      <c r="I999" s="46">
        <v>44</v>
      </c>
      <c r="J999" s="46">
        <v>198</v>
      </c>
      <c r="K999" s="46">
        <v>43</v>
      </c>
      <c r="L999" s="47">
        <f t="shared" si="0"/>
        <v>97.727272727272734</v>
      </c>
      <c r="M999" s="46">
        <v>11</v>
      </c>
      <c r="N999" s="48">
        <f t="shared" si="1"/>
        <v>25</v>
      </c>
      <c r="O999" s="46">
        <v>11</v>
      </c>
      <c r="P999" s="48">
        <f t="shared" si="2"/>
        <v>100</v>
      </c>
      <c r="Q999" s="39" t="s">
        <v>63</v>
      </c>
      <c r="R999" s="56" t="str">
        <f t="shared" si="3"/>
        <v>X</v>
      </c>
      <c r="S999" s="50" t="s">
        <v>60</v>
      </c>
      <c r="T999" s="50" t="str">
        <f>IF('PL1(Full)'!$N999&gt;=20,"x",IF(AND('PL1(Full)'!$N999&gt;=15,'PL1(Full)'!$P999&gt;60),"x",""))</f>
        <v>x</v>
      </c>
      <c r="U999" s="50" t="str">
        <f>IF(AND('PL1(Full)'!$H999="Thôn",'PL1(Full)'!$I999&lt;75),"x",IF(AND('PL1(Full)'!$H999="Tổ",'PL1(Full)'!$I999&lt;100),"x","-"))</f>
        <v>x</v>
      </c>
      <c r="V999" s="34" t="str">
        <f>IF(AND('PL1(Full)'!$H999="Thôn",'PL1(Full)'!$I999&lt;140),"x",IF(AND('PL1(Full)'!$H999="Tổ",'PL1(Full)'!$I999&lt;210),"x","-"))</f>
        <v>x</v>
      </c>
      <c r="W999" s="51" t="str">
        <f t="shared" si="175"/>
        <v>Loại 3</v>
      </c>
      <c r="X999" s="50"/>
    </row>
    <row r="1000" spans="1:24" ht="15.75" customHeight="1">
      <c r="A1000" s="52">
        <f>_xlfn.AGGREGATE(4,7,A$6:A999)+1</f>
        <v>753</v>
      </c>
      <c r="B1000" s="14" t="str">
        <f t="shared" si="173"/>
        <v>H. Ngân Sơn</v>
      </c>
      <c r="C1000" s="14" t="s">
        <v>1072</v>
      </c>
      <c r="D1000" s="25" t="s">
        <v>58</v>
      </c>
      <c r="E1000" s="25" t="s">
        <v>58</v>
      </c>
      <c r="F1000" s="14" t="s">
        <v>1073</v>
      </c>
      <c r="G1000" s="25" t="s">
        <v>40</v>
      </c>
      <c r="H1000" s="25" t="str">
        <f>IF(LEFT('PL1(Full)'!$F1000,4)="Thôn","Thôn","Tổ")</f>
        <v>Thôn</v>
      </c>
      <c r="I1000" s="20">
        <v>41</v>
      </c>
      <c r="J1000" s="20">
        <v>156</v>
      </c>
      <c r="K1000" s="20">
        <v>41</v>
      </c>
      <c r="L1000" s="21">
        <f t="shared" si="0"/>
        <v>100</v>
      </c>
      <c r="M1000" s="20">
        <v>27</v>
      </c>
      <c r="N1000" s="22">
        <f t="shared" si="1"/>
        <v>65.853658536585371</v>
      </c>
      <c r="O1000" s="20">
        <v>27</v>
      </c>
      <c r="P1000" s="22">
        <f t="shared" si="2"/>
        <v>100</v>
      </c>
      <c r="Q1000" s="23" t="s">
        <v>63</v>
      </c>
      <c r="R1000" s="24" t="str">
        <f t="shared" si="3"/>
        <v>X</v>
      </c>
      <c r="S1000" s="25" t="s">
        <v>60</v>
      </c>
      <c r="T1000" s="26" t="str">
        <f>IF('PL1(Full)'!$N1000&gt;=20,"x",IF(AND('PL1(Full)'!$N1000&gt;=15,'PL1(Full)'!$P1000&gt;60),"x",""))</f>
        <v>x</v>
      </c>
      <c r="U1000" s="27" t="str">
        <f>IF(AND('PL1(Full)'!$H1000="Thôn",'PL1(Full)'!$I1000&lt;75),"x",IF(AND('PL1(Full)'!$H1000="Tổ",'PL1(Full)'!$I1000&lt;100),"x","-"))</f>
        <v>x</v>
      </c>
      <c r="V1000" s="28" t="str">
        <f>IF(AND('PL1(Full)'!$H1000="Thôn",'PL1(Full)'!$I1000&lt;140),"x",IF(AND('PL1(Full)'!$H1000="Tổ",'PL1(Full)'!$I1000&lt;210),"x","-"))</f>
        <v>x</v>
      </c>
      <c r="W1000" s="29" t="str">
        <f t="shared" si="175"/>
        <v>Loại 3</v>
      </c>
      <c r="X1000" s="25"/>
    </row>
    <row r="1001" spans="1:24" ht="15.75" customHeight="1">
      <c r="A1001" s="30">
        <f>_xlfn.AGGREGATE(4,7,A$6:A1000)+1</f>
        <v>754</v>
      </c>
      <c r="B1001" s="31" t="str">
        <f t="shared" si="173"/>
        <v>H. Ngân Sơn</v>
      </c>
      <c r="C1001" s="31" t="str">
        <f t="shared" ref="C1001:C1011" si="179">C1000</f>
        <v>X. Hiệp Lực</v>
      </c>
      <c r="D1001" s="34"/>
      <c r="E1001" s="34" t="s">
        <v>58</v>
      </c>
      <c r="F1001" s="31" t="s">
        <v>1074</v>
      </c>
      <c r="G1001" s="34" t="s">
        <v>40</v>
      </c>
      <c r="H1001" s="34" t="str">
        <f>IF(LEFT('PL1(Full)'!$F1001,4)="Thôn","Thôn","Tổ")</f>
        <v>Thôn</v>
      </c>
      <c r="I1001" s="36">
        <v>65</v>
      </c>
      <c r="J1001" s="36">
        <v>276</v>
      </c>
      <c r="K1001" s="36">
        <v>65</v>
      </c>
      <c r="L1001" s="37">
        <f t="shared" si="0"/>
        <v>100</v>
      </c>
      <c r="M1001" s="36">
        <v>26</v>
      </c>
      <c r="N1001" s="38">
        <f t="shared" si="1"/>
        <v>40</v>
      </c>
      <c r="O1001" s="36">
        <v>26</v>
      </c>
      <c r="P1001" s="38">
        <f t="shared" si="2"/>
        <v>100</v>
      </c>
      <c r="Q1001" s="39" t="s">
        <v>1075</v>
      </c>
      <c r="R1001" s="39" t="str">
        <f t="shared" si="3"/>
        <v>T</v>
      </c>
      <c r="S1001" s="34"/>
      <c r="T1001" s="34" t="str">
        <f>IF('PL1(Full)'!$N1001&gt;=20,"x",IF(AND('PL1(Full)'!$N1001&gt;=15,'PL1(Full)'!$P1001&gt;60),"x",""))</f>
        <v>x</v>
      </c>
      <c r="U1001" s="34" t="str">
        <f>IF(AND('PL1(Full)'!$H1001="Thôn",'PL1(Full)'!$I1001&lt;75),"x",IF(AND('PL1(Full)'!$H1001="Tổ",'PL1(Full)'!$I1001&lt;100),"x","-"))</f>
        <v>x</v>
      </c>
      <c r="V1001" s="34" t="str">
        <f>IF(AND('PL1(Full)'!$H1001="Thôn",'PL1(Full)'!$I1001&lt;140),"x",IF(AND('PL1(Full)'!$H1001="Tổ",'PL1(Full)'!$I1001&lt;210),"x","-"))</f>
        <v>x</v>
      </c>
      <c r="W1001" s="40" t="str">
        <f t="shared" si="175"/>
        <v>Loại 3</v>
      </c>
      <c r="X1001" s="34"/>
    </row>
    <row r="1002" spans="1:24" ht="15.75" hidden="1" customHeight="1">
      <c r="A1002" s="30">
        <f>_xlfn.AGGREGATE(4,7,A$6:A1001)+1</f>
        <v>755</v>
      </c>
      <c r="B1002" s="31" t="str">
        <f t="shared" si="173"/>
        <v>H. Ngân Sơn</v>
      </c>
      <c r="C1002" s="31" t="str">
        <f t="shared" si="179"/>
        <v>X. Hiệp Lực</v>
      </c>
      <c r="D1002" s="34"/>
      <c r="E1002" s="34" t="s">
        <v>58</v>
      </c>
      <c r="F1002" s="31" t="s">
        <v>1076</v>
      </c>
      <c r="G1002" s="34" t="s">
        <v>40</v>
      </c>
      <c r="H1002" s="34" t="str">
        <f>IF(LEFT('PL1(Full)'!$F1002,4)="Thôn","Thôn","Tổ")</f>
        <v>Thôn</v>
      </c>
      <c r="I1002" s="36">
        <v>133</v>
      </c>
      <c r="J1002" s="36">
        <v>544</v>
      </c>
      <c r="K1002" s="36">
        <v>127</v>
      </c>
      <c r="L1002" s="37">
        <f t="shared" si="0"/>
        <v>95.488721804511272</v>
      </c>
      <c r="M1002" s="36">
        <v>60</v>
      </c>
      <c r="N1002" s="38">
        <f t="shared" si="1"/>
        <v>45.112781954887218</v>
      </c>
      <c r="O1002" s="36">
        <v>56</v>
      </c>
      <c r="P1002" s="38">
        <f t="shared" si="2"/>
        <v>93.333333333333329</v>
      </c>
      <c r="Q1002" s="39" t="s">
        <v>1077</v>
      </c>
      <c r="R1002" s="39" t="str">
        <f t="shared" si="3"/>
        <v>T</v>
      </c>
      <c r="S1002" s="34" t="s">
        <v>60</v>
      </c>
      <c r="T1002" s="34" t="str">
        <f>IF('PL1(Full)'!$N1002&gt;=20,"x",IF(AND('PL1(Full)'!$N1002&gt;=15,'PL1(Full)'!$P1002&gt;60),"x",""))</f>
        <v>x</v>
      </c>
      <c r="U1002" s="34" t="str">
        <f>IF(AND('PL1(Full)'!$H1002="Thôn",'PL1(Full)'!$I1002&lt;75),"x",IF(AND('PL1(Full)'!$H1002="Tổ",'PL1(Full)'!$I1002&lt;100),"x","-"))</f>
        <v>-</v>
      </c>
      <c r="V1002" s="34" t="str">
        <f>IF(AND('PL1(Full)'!$H1002="Thôn",'PL1(Full)'!$I1002&lt;140),"x",IF(AND('PL1(Full)'!$H1002="Tổ",'PL1(Full)'!$I1002&lt;210),"x","-"))</f>
        <v>x</v>
      </c>
      <c r="W1002" s="40" t="str">
        <f t="shared" si="175"/>
        <v>Loại 2</v>
      </c>
      <c r="X1002" s="34"/>
    </row>
    <row r="1003" spans="1:24" ht="15.75" hidden="1" customHeight="1">
      <c r="A1003" s="30">
        <f>_xlfn.AGGREGATE(4,7,A$6:A1002)+1</f>
        <v>755</v>
      </c>
      <c r="B1003" s="31" t="str">
        <f t="shared" si="173"/>
        <v>H. Ngân Sơn</v>
      </c>
      <c r="C1003" s="31" t="str">
        <f t="shared" si="179"/>
        <v>X. Hiệp Lực</v>
      </c>
      <c r="D1003" s="34"/>
      <c r="E1003" s="34" t="s">
        <v>58</v>
      </c>
      <c r="F1003" s="31" t="s">
        <v>155</v>
      </c>
      <c r="G1003" s="34" t="s">
        <v>40</v>
      </c>
      <c r="H1003" s="34" t="str">
        <f>IF(LEFT('PL1(Full)'!$F1003,4)="Thôn","Thôn","Tổ")</f>
        <v>Thôn</v>
      </c>
      <c r="I1003" s="36">
        <v>152</v>
      </c>
      <c r="J1003" s="36">
        <v>731</v>
      </c>
      <c r="K1003" s="36">
        <v>152</v>
      </c>
      <c r="L1003" s="37">
        <f t="shared" si="0"/>
        <v>100</v>
      </c>
      <c r="M1003" s="36">
        <v>152</v>
      </c>
      <c r="N1003" s="38">
        <f t="shared" si="1"/>
        <v>100</v>
      </c>
      <c r="O1003" s="36">
        <v>152</v>
      </c>
      <c r="P1003" s="38">
        <f t="shared" si="2"/>
        <v>100</v>
      </c>
      <c r="Q1003" s="39" t="s">
        <v>43</v>
      </c>
      <c r="R1003" s="39" t="str">
        <f t="shared" si="3"/>
        <v>X</v>
      </c>
      <c r="S1003" s="34" t="s">
        <v>60</v>
      </c>
      <c r="T1003" s="34" t="str">
        <f>IF('PL1(Full)'!$N1003&gt;=20,"x",IF(AND('PL1(Full)'!$N1003&gt;=15,'PL1(Full)'!$P1003&gt;60),"x",""))</f>
        <v>x</v>
      </c>
      <c r="U1003" s="34" t="str">
        <f>IF(AND('PL1(Full)'!$H1003="Thôn",'PL1(Full)'!$I1003&lt;75),"x",IF(AND('PL1(Full)'!$H1003="Tổ",'PL1(Full)'!$I1003&lt;100),"x","-"))</f>
        <v>-</v>
      </c>
      <c r="V1003" s="34" t="str">
        <f>IF(AND('PL1(Full)'!$H1003="Thôn",'PL1(Full)'!$I1003&lt;140),"x",IF(AND('PL1(Full)'!$H1003="Tổ",'PL1(Full)'!$I1003&lt;210),"x","-"))</f>
        <v>-</v>
      </c>
      <c r="W1003" s="40" t="str">
        <f t="shared" si="175"/>
        <v>Loại 1</v>
      </c>
      <c r="X1003" s="34"/>
    </row>
    <row r="1004" spans="1:24" ht="15.75" customHeight="1">
      <c r="A1004" s="30">
        <f>_xlfn.AGGREGATE(4,7,A$6:A1003)+1</f>
        <v>755</v>
      </c>
      <c r="B1004" s="31" t="str">
        <f t="shared" si="173"/>
        <v>H. Ngân Sơn</v>
      </c>
      <c r="C1004" s="31" t="str">
        <f t="shared" si="179"/>
        <v>X. Hiệp Lực</v>
      </c>
      <c r="D1004" s="34"/>
      <c r="E1004" s="34" t="s">
        <v>58</v>
      </c>
      <c r="F1004" s="31" t="s">
        <v>1078</v>
      </c>
      <c r="G1004" s="34" t="s">
        <v>40</v>
      </c>
      <c r="H1004" s="34" t="str">
        <f>IF(LEFT('PL1(Full)'!$F1004,4)="Thôn","Thôn","Tổ")</f>
        <v>Thôn</v>
      </c>
      <c r="I1004" s="36">
        <v>39</v>
      </c>
      <c r="J1004" s="36">
        <v>175</v>
      </c>
      <c r="K1004" s="36">
        <v>39</v>
      </c>
      <c r="L1004" s="37">
        <f t="shared" si="0"/>
        <v>100</v>
      </c>
      <c r="M1004" s="36">
        <v>39</v>
      </c>
      <c r="N1004" s="38">
        <f t="shared" si="1"/>
        <v>100</v>
      </c>
      <c r="O1004" s="36">
        <v>39</v>
      </c>
      <c r="P1004" s="38">
        <f t="shared" si="2"/>
        <v>100</v>
      </c>
      <c r="Q1004" s="39" t="s">
        <v>117</v>
      </c>
      <c r="R1004" s="39" t="str">
        <f t="shared" si="3"/>
        <v>T</v>
      </c>
      <c r="S1004" s="34" t="s">
        <v>60</v>
      </c>
      <c r="T1004" s="34" t="str">
        <f>IF('PL1(Full)'!$N1004&gt;=20,"x",IF(AND('PL1(Full)'!$N1004&gt;=15,'PL1(Full)'!$P1004&gt;60),"x",""))</f>
        <v>x</v>
      </c>
      <c r="U1004" s="34" t="str">
        <f>IF(AND('PL1(Full)'!$H1004="Thôn",'PL1(Full)'!$I1004&lt;75),"x",IF(AND('PL1(Full)'!$H1004="Tổ",'PL1(Full)'!$I1004&lt;100),"x","-"))</f>
        <v>x</v>
      </c>
      <c r="V1004" s="34" t="str">
        <f>IF(AND('PL1(Full)'!$H1004="Thôn",'PL1(Full)'!$I1004&lt;140),"x",IF(AND('PL1(Full)'!$H1004="Tổ",'PL1(Full)'!$I1004&lt;210),"x","-"))</f>
        <v>x</v>
      </c>
      <c r="W1004" s="40" t="str">
        <f t="shared" si="175"/>
        <v>Loại 3</v>
      </c>
      <c r="X1004" s="34"/>
    </row>
    <row r="1005" spans="1:24" ht="15.75" hidden="1" customHeight="1">
      <c r="A1005" s="30">
        <f>_xlfn.AGGREGATE(4,7,A$6:A1004)+1</f>
        <v>756</v>
      </c>
      <c r="B1005" s="31" t="str">
        <f t="shared" si="173"/>
        <v>H. Ngân Sơn</v>
      </c>
      <c r="C1005" s="31" t="str">
        <f t="shared" si="179"/>
        <v>X. Hiệp Lực</v>
      </c>
      <c r="D1005" s="34"/>
      <c r="E1005" s="34" t="s">
        <v>58</v>
      </c>
      <c r="F1005" s="31" t="s">
        <v>1079</v>
      </c>
      <c r="G1005" s="34" t="s">
        <v>40</v>
      </c>
      <c r="H1005" s="34" t="str">
        <f>IF(LEFT('PL1(Full)'!$F1005,4)="Thôn","Thôn","Tổ")</f>
        <v>Thôn</v>
      </c>
      <c r="I1005" s="36">
        <v>86</v>
      </c>
      <c r="J1005" s="36">
        <v>326</v>
      </c>
      <c r="K1005" s="36">
        <v>86</v>
      </c>
      <c r="L1005" s="37">
        <f t="shared" si="0"/>
        <v>100</v>
      </c>
      <c r="M1005" s="36">
        <v>59</v>
      </c>
      <c r="N1005" s="38">
        <f t="shared" si="1"/>
        <v>68.604651162790702</v>
      </c>
      <c r="O1005" s="36">
        <v>59</v>
      </c>
      <c r="P1005" s="38">
        <f t="shared" si="2"/>
        <v>100</v>
      </c>
      <c r="Q1005" s="39" t="s">
        <v>1077</v>
      </c>
      <c r="R1005" s="39" t="str">
        <f t="shared" si="3"/>
        <v>T</v>
      </c>
      <c r="S1005" s="34" t="s">
        <v>60</v>
      </c>
      <c r="T1005" s="34" t="str">
        <f>IF('PL1(Full)'!$N1005&gt;=20,"x",IF(AND('PL1(Full)'!$N1005&gt;=15,'PL1(Full)'!$P1005&gt;60),"x",""))</f>
        <v>x</v>
      </c>
      <c r="U1005" s="34" t="str">
        <f>IF(AND('PL1(Full)'!$H1005="Thôn",'PL1(Full)'!$I1005&lt;75),"x",IF(AND('PL1(Full)'!$H1005="Tổ",'PL1(Full)'!$I1005&lt;100),"x","-"))</f>
        <v>-</v>
      </c>
      <c r="V1005" s="34" t="str">
        <f>IF(AND('PL1(Full)'!$H1005="Thôn",'PL1(Full)'!$I1005&lt;140),"x",IF(AND('PL1(Full)'!$H1005="Tổ",'PL1(Full)'!$I1005&lt;210),"x","-"))</f>
        <v>x</v>
      </c>
      <c r="W1005" s="40" t="str">
        <f t="shared" si="175"/>
        <v>Loại 3</v>
      </c>
      <c r="X1005" s="34"/>
    </row>
    <row r="1006" spans="1:24" ht="15.75" customHeight="1">
      <c r="A1006" s="30">
        <f>_xlfn.AGGREGATE(4,7,A$6:A1005)+1</f>
        <v>756</v>
      </c>
      <c r="B1006" s="31" t="str">
        <f t="shared" si="173"/>
        <v>H. Ngân Sơn</v>
      </c>
      <c r="C1006" s="31" t="str">
        <f t="shared" si="179"/>
        <v>X. Hiệp Lực</v>
      </c>
      <c r="D1006" s="34"/>
      <c r="E1006" s="34" t="s">
        <v>58</v>
      </c>
      <c r="F1006" s="31" t="s">
        <v>559</v>
      </c>
      <c r="G1006" s="34"/>
      <c r="H1006" s="34" t="str">
        <f>IF(LEFT('PL1(Full)'!$F1006,4)="Thôn","Thôn","Tổ")</f>
        <v>Thôn</v>
      </c>
      <c r="I1006" s="36">
        <v>33</v>
      </c>
      <c r="J1006" s="36">
        <v>145</v>
      </c>
      <c r="K1006" s="36">
        <v>33</v>
      </c>
      <c r="L1006" s="37">
        <f t="shared" si="0"/>
        <v>100</v>
      </c>
      <c r="M1006" s="36">
        <v>11</v>
      </c>
      <c r="N1006" s="38">
        <f t="shared" si="1"/>
        <v>33.333333333333336</v>
      </c>
      <c r="O1006" s="36">
        <v>11</v>
      </c>
      <c r="P1006" s="38">
        <f t="shared" si="2"/>
        <v>100</v>
      </c>
      <c r="Q1006" s="39" t="s">
        <v>300</v>
      </c>
      <c r="R1006" s="39" t="str">
        <f t="shared" si="3"/>
        <v>T</v>
      </c>
      <c r="S1006" s="34" t="s">
        <v>60</v>
      </c>
      <c r="T1006" s="34" t="str">
        <f>IF('PL1(Full)'!$N1006&gt;=20,"x",IF(AND('PL1(Full)'!$N1006&gt;=15,'PL1(Full)'!$P1006&gt;60),"x",""))</f>
        <v>x</v>
      </c>
      <c r="U1006" s="34" t="str">
        <f>IF(AND('PL1(Full)'!$H1006="Thôn",'PL1(Full)'!$I1006&lt;75),"x",IF(AND('PL1(Full)'!$H1006="Tổ",'PL1(Full)'!$I1006&lt;100),"x","-"))</f>
        <v>x</v>
      </c>
      <c r="V1006" s="34" t="str">
        <f>IF(AND('PL1(Full)'!$H1006="Thôn",'PL1(Full)'!$I1006&lt;140),"x",IF(AND('PL1(Full)'!$H1006="Tổ",'PL1(Full)'!$I1006&lt;210),"x","-"))</f>
        <v>x</v>
      </c>
      <c r="W1006" s="40" t="str">
        <f t="shared" si="175"/>
        <v>Loại 3</v>
      </c>
      <c r="X1006" s="34"/>
    </row>
    <row r="1007" spans="1:24" ht="15.75" hidden="1" customHeight="1">
      <c r="A1007" s="30">
        <f>_xlfn.AGGREGATE(4,7,A$6:A1006)+1</f>
        <v>757</v>
      </c>
      <c r="B1007" s="31" t="str">
        <f t="shared" si="173"/>
        <v>H. Ngân Sơn</v>
      </c>
      <c r="C1007" s="31" t="str">
        <f t="shared" si="179"/>
        <v>X. Hiệp Lực</v>
      </c>
      <c r="D1007" s="34"/>
      <c r="E1007" s="34" t="s">
        <v>58</v>
      </c>
      <c r="F1007" s="31" t="s">
        <v>1080</v>
      </c>
      <c r="G1007" s="34" t="s">
        <v>40</v>
      </c>
      <c r="H1007" s="34" t="str">
        <f>IF(LEFT('PL1(Full)'!$F1007,4)="Thôn","Thôn","Tổ")</f>
        <v>Thôn</v>
      </c>
      <c r="I1007" s="36">
        <v>173</v>
      </c>
      <c r="J1007" s="36">
        <v>730</v>
      </c>
      <c r="K1007" s="36">
        <v>150</v>
      </c>
      <c r="L1007" s="37">
        <f t="shared" si="0"/>
        <v>86.705202312138724</v>
      </c>
      <c r="M1007" s="36">
        <v>78</v>
      </c>
      <c r="N1007" s="38">
        <f t="shared" si="1"/>
        <v>45.086705202312139</v>
      </c>
      <c r="O1007" s="36">
        <v>63</v>
      </c>
      <c r="P1007" s="38">
        <f t="shared" si="2"/>
        <v>80.769230769230774</v>
      </c>
      <c r="Q1007" s="39" t="s">
        <v>1077</v>
      </c>
      <c r="R1007" s="39" t="str">
        <f t="shared" si="3"/>
        <v>T</v>
      </c>
      <c r="S1007" s="34" t="s">
        <v>60</v>
      </c>
      <c r="T1007" s="34" t="str">
        <f>IF('PL1(Full)'!$N1007&gt;=20,"x",IF(AND('PL1(Full)'!$N1007&gt;=15,'PL1(Full)'!$P1007&gt;60),"x",""))</f>
        <v>x</v>
      </c>
      <c r="U1007" s="34" t="str">
        <f>IF(AND('PL1(Full)'!$H1007="Thôn",'PL1(Full)'!$I1007&lt;75),"x",IF(AND('PL1(Full)'!$H1007="Tổ",'PL1(Full)'!$I1007&lt;100),"x","-"))</f>
        <v>-</v>
      </c>
      <c r="V1007" s="34" t="str">
        <f>IF(AND('PL1(Full)'!$H1007="Thôn",'PL1(Full)'!$I1007&lt;140),"x",IF(AND('PL1(Full)'!$H1007="Tổ",'PL1(Full)'!$I1007&lt;210),"x","-"))</f>
        <v>-</v>
      </c>
      <c r="W1007" s="40" t="str">
        <f t="shared" si="175"/>
        <v>Loại 1</v>
      </c>
      <c r="X1007" s="34"/>
    </row>
    <row r="1008" spans="1:24" ht="15.75" customHeight="1">
      <c r="A1008" s="30">
        <f>_xlfn.AGGREGATE(4,7,A$6:A1007)+1</f>
        <v>757</v>
      </c>
      <c r="B1008" s="31" t="str">
        <f t="shared" si="173"/>
        <v>H. Ngân Sơn</v>
      </c>
      <c r="C1008" s="31" t="str">
        <f t="shared" si="179"/>
        <v>X. Hiệp Lực</v>
      </c>
      <c r="D1008" s="34"/>
      <c r="E1008" s="34" t="s">
        <v>58</v>
      </c>
      <c r="F1008" s="31" t="s">
        <v>1081</v>
      </c>
      <c r="G1008" s="34" t="s">
        <v>40</v>
      </c>
      <c r="H1008" s="34" t="str">
        <f>IF(LEFT('PL1(Full)'!$F1008,4)="Thôn","Thôn","Tổ")</f>
        <v>Thôn</v>
      </c>
      <c r="I1008" s="36">
        <v>41</v>
      </c>
      <c r="J1008" s="36">
        <v>184</v>
      </c>
      <c r="K1008" s="36">
        <v>39</v>
      </c>
      <c r="L1008" s="37">
        <f t="shared" si="0"/>
        <v>95.121951219512198</v>
      </c>
      <c r="M1008" s="36">
        <v>22</v>
      </c>
      <c r="N1008" s="38">
        <f t="shared" si="1"/>
        <v>53.658536585365852</v>
      </c>
      <c r="O1008" s="36">
        <v>21</v>
      </c>
      <c r="P1008" s="38">
        <f t="shared" si="2"/>
        <v>95.454545454545453</v>
      </c>
      <c r="Q1008" s="39" t="s">
        <v>117</v>
      </c>
      <c r="R1008" s="39" t="str">
        <f t="shared" si="3"/>
        <v>T</v>
      </c>
      <c r="S1008" s="34" t="s">
        <v>60</v>
      </c>
      <c r="T1008" s="34" t="str">
        <f>IF('PL1(Full)'!$N1008&gt;=20,"x",IF(AND('PL1(Full)'!$N1008&gt;=15,'PL1(Full)'!$P1008&gt;60),"x",""))</f>
        <v>x</v>
      </c>
      <c r="U1008" s="34" t="str">
        <f>IF(AND('PL1(Full)'!$H1008="Thôn",'PL1(Full)'!$I1008&lt;75),"x",IF(AND('PL1(Full)'!$H1008="Tổ",'PL1(Full)'!$I1008&lt;100),"x","-"))</f>
        <v>x</v>
      </c>
      <c r="V1008" s="34" t="str">
        <f>IF(AND('PL1(Full)'!$H1008="Thôn",'PL1(Full)'!$I1008&lt;140),"x",IF(AND('PL1(Full)'!$H1008="Tổ",'PL1(Full)'!$I1008&lt;210),"x","-"))</f>
        <v>x</v>
      </c>
      <c r="W1008" s="40" t="str">
        <f t="shared" si="175"/>
        <v>Loại 3</v>
      </c>
      <c r="X1008" s="34"/>
    </row>
    <row r="1009" spans="1:24" ht="15.75" hidden="1" customHeight="1">
      <c r="A1009" s="30">
        <f>_xlfn.AGGREGATE(4,7,A$6:A1008)+1</f>
        <v>758</v>
      </c>
      <c r="B1009" s="31" t="str">
        <f t="shared" si="173"/>
        <v>H. Ngân Sơn</v>
      </c>
      <c r="C1009" s="31" t="str">
        <f t="shared" si="179"/>
        <v>X. Hiệp Lực</v>
      </c>
      <c r="D1009" s="34"/>
      <c r="E1009" s="34" t="s">
        <v>58</v>
      </c>
      <c r="F1009" s="31" t="s">
        <v>138</v>
      </c>
      <c r="G1009" s="34" t="s">
        <v>40</v>
      </c>
      <c r="H1009" s="34" t="str">
        <f>IF(LEFT('PL1(Full)'!$F1009,4)="Thôn","Thôn","Tổ")</f>
        <v>Thôn</v>
      </c>
      <c r="I1009" s="36">
        <v>122</v>
      </c>
      <c r="J1009" s="36">
        <v>520</v>
      </c>
      <c r="K1009" s="36">
        <v>119</v>
      </c>
      <c r="L1009" s="37">
        <f t="shared" si="0"/>
        <v>97.540983606557376</v>
      </c>
      <c r="M1009" s="36">
        <v>75</v>
      </c>
      <c r="N1009" s="38">
        <f t="shared" si="1"/>
        <v>61.475409836065573</v>
      </c>
      <c r="O1009" s="36">
        <v>72</v>
      </c>
      <c r="P1009" s="38">
        <f t="shared" si="2"/>
        <v>96</v>
      </c>
      <c r="Q1009" s="39" t="s">
        <v>43</v>
      </c>
      <c r="R1009" s="39" t="str">
        <f t="shared" si="3"/>
        <v>X</v>
      </c>
      <c r="S1009" s="34" t="s">
        <v>60</v>
      </c>
      <c r="T1009" s="34" t="str">
        <f>IF('PL1(Full)'!$N1009&gt;=20,"x",IF(AND('PL1(Full)'!$N1009&gt;=15,'PL1(Full)'!$P1009&gt;60),"x",""))</f>
        <v>x</v>
      </c>
      <c r="U1009" s="34" t="str">
        <f>IF(AND('PL1(Full)'!$H1009="Thôn",'PL1(Full)'!$I1009&lt;75),"x",IF(AND('PL1(Full)'!$H1009="Tổ",'PL1(Full)'!$I1009&lt;100),"x","-"))</f>
        <v>-</v>
      </c>
      <c r="V1009" s="34" t="str">
        <f>IF(AND('PL1(Full)'!$H1009="Thôn",'PL1(Full)'!$I1009&lt;140),"x",IF(AND('PL1(Full)'!$H1009="Tổ",'PL1(Full)'!$I1009&lt;210),"x","-"))</f>
        <v>x</v>
      </c>
      <c r="W1009" s="40" t="str">
        <f t="shared" si="175"/>
        <v>Loại 2</v>
      </c>
      <c r="X1009" s="34"/>
    </row>
    <row r="1010" spans="1:24" ht="15.75" customHeight="1">
      <c r="A1010" s="30">
        <f>_xlfn.AGGREGATE(4,7,A$6:A1009)+1</f>
        <v>758</v>
      </c>
      <c r="B1010" s="31" t="str">
        <f t="shared" si="173"/>
        <v>H. Ngân Sơn</v>
      </c>
      <c r="C1010" s="31" t="str">
        <f t="shared" si="179"/>
        <v>X. Hiệp Lực</v>
      </c>
      <c r="D1010" s="34"/>
      <c r="E1010" s="34" t="s">
        <v>58</v>
      </c>
      <c r="F1010" s="31" t="s">
        <v>1082</v>
      </c>
      <c r="G1010" s="34"/>
      <c r="H1010" s="34" t="str">
        <f>IF(LEFT('PL1(Full)'!$F1010,4)="Thôn","Thôn","Tổ")</f>
        <v>Thôn</v>
      </c>
      <c r="I1010" s="36">
        <v>27</v>
      </c>
      <c r="J1010" s="36">
        <v>114</v>
      </c>
      <c r="K1010" s="36">
        <v>28</v>
      </c>
      <c r="L1010" s="37">
        <f t="shared" si="0"/>
        <v>103.70370370370371</v>
      </c>
      <c r="M1010" s="36">
        <v>11</v>
      </c>
      <c r="N1010" s="38">
        <f t="shared" si="1"/>
        <v>40.74074074074074</v>
      </c>
      <c r="O1010" s="36">
        <v>11</v>
      </c>
      <c r="P1010" s="38">
        <f t="shared" si="2"/>
        <v>100</v>
      </c>
      <c r="Q1010" s="39" t="s">
        <v>300</v>
      </c>
      <c r="R1010" s="39" t="str">
        <f t="shared" si="3"/>
        <v>T</v>
      </c>
      <c r="S1010" s="34" t="s">
        <v>60</v>
      </c>
      <c r="T1010" s="34" t="str">
        <f>IF('PL1(Full)'!$N1010&gt;=20,"x",IF(AND('PL1(Full)'!$N1010&gt;=15,'PL1(Full)'!$P1010&gt;60),"x",""))</f>
        <v>x</v>
      </c>
      <c r="U1010" s="34" t="str">
        <f>IF(AND('PL1(Full)'!$H1010="Thôn",'PL1(Full)'!$I1010&lt;75),"x",IF(AND('PL1(Full)'!$H1010="Tổ",'PL1(Full)'!$I1010&lt;100),"x","-"))</f>
        <v>x</v>
      </c>
      <c r="V1010" s="34" t="str">
        <f>IF(AND('PL1(Full)'!$H1010="Thôn",'PL1(Full)'!$I1010&lt;140),"x",IF(AND('PL1(Full)'!$H1010="Tổ",'PL1(Full)'!$I1010&lt;210),"x","-"))</f>
        <v>x</v>
      </c>
      <c r="W1010" s="40" t="str">
        <f t="shared" si="175"/>
        <v>Loại 3</v>
      </c>
      <c r="X1010" s="34"/>
    </row>
    <row r="1011" spans="1:24" ht="15.75" hidden="1" customHeight="1">
      <c r="A1011" s="41">
        <f>_xlfn.AGGREGATE(4,7,A$6:A1010)+1</f>
        <v>759</v>
      </c>
      <c r="B1011" s="42" t="str">
        <f t="shared" si="173"/>
        <v>H. Ngân Sơn</v>
      </c>
      <c r="C1011" s="42" t="str">
        <f t="shared" si="179"/>
        <v>X. Hiệp Lực</v>
      </c>
      <c r="D1011" s="50"/>
      <c r="E1011" s="50" t="s">
        <v>58</v>
      </c>
      <c r="F1011" s="42" t="s">
        <v>376</v>
      </c>
      <c r="G1011" s="50" t="s">
        <v>40</v>
      </c>
      <c r="H1011" s="50" t="str">
        <f>IF(LEFT('PL1(Full)'!$F1011,4)="Thôn","Thôn","Tổ")</f>
        <v>Thôn</v>
      </c>
      <c r="I1011" s="46">
        <v>94</v>
      </c>
      <c r="J1011" s="46">
        <v>416</v>
      </c>
      <c r="K1011" s="46">
        <v>92</v>
      </c>
      <c r="L1011" s="47">
        <f t="shared" si="0"/>
        <v>97.872340425531917</v>
      </c>
      <c r="M1011" s="46">
        <v>38</v>
      </c>
      <c r="N1011" s="48">
        <f t="shared" si="1"/>
        <v>40.425531914893618</v>
      </c>
      <c r="O1011" s="46">
        <v>34</v>
      </c>
      <c r="P1011" s="48">
        <f t="shared" si="2"/>
        <v>89.473684210526315</v>
      </c>
      <c r="Q1011" s="49" t="s">
        <v>43</v>
      </c>
      <c r="R1011" s="49" t="str">
        <f t="shared" si="3"/>
        <v>X</v>
      </c>
      <c r="S1011" s="50" t="s">
        <v>60</v>
      </c>
      <c r="T1011" s="50" t="str">
        <f>IF('PL1(Full)'!$N1011&gt;=20,"x",IF(AND('PL1(Full)'!$N1011&gt;=15,'PL1(Full)'!$P1011&gt;60),"x",""))</f>
        <v>x</v>
      </c>
      <c r="U1011" s="50" t="str">
        <f>IF(AND('PL1(Full)'!$H1011="Thôn",'PL1(Full)'!$I1011&lt;75),"x",IF(AND('PL1(Full)'!$H1011="Tổ",'PL1(Full)'!$I1011&lt;100),"x","-"))</f>
        <v>-</v>
      </c>
      <c r="V1011" s="34" t="str">
        <f>IF(AND('PL1(Full)'!$H1011="Thôn",'PL1(Full)'!$I1011&lt;140),"x",IF(AND('PL1(Full)'!$H1011="Tổ",'PL1(Full)'!$I1011&lt;210),"x","-"))</f>
        <v>x</v>
      </c>
      <c r="W1011" s="51" t="str">
        <f t="shared" si="175"/>
        <v>Loại 3</v>
      </c>
      <c r="X1011" s="50"/>
    </row>
    <row r="1012" spans="1:24" ht="15.75" customHeight="1">
      <c r="A1012" s="52">
        <f>_xlfn.AGGREGATE(4,7,A$6:A1011)+1</f>
        <v>759</v>
      </c>
      <c r="B1012" s="14" t="str">
        <f t="shared" si="173"/>
        <v>H. Ngân Sơn</v>
      </c>
      <c r="C1012" s="14" t="s">
        <v>1083</v>
      </c>
      <c r="D1012" s="25" t="s">
        <v>58</v>
      </c>
      <c r="E1012" s="25" t="s">
        <v>58</v>
      </c>
      <c r="F1012" s="14" t="s">
        <v>1084</v>
      </c>
      <c r="G1012" s="25"/>
      <c r="H1012" s="25" t="str">
        <f>IF(LEFT('PL1(Full)'!$F1012,4)="Thôn","Thôn","Tổ")</f>
        <v>Thôn</v>
      </c>
      <c r="I1012" s="146">
        <v>22</v>
      </c>
      <c r="J1012" s="146">
        <v>88</v>
      </c>
      <c r="K1012" s="146">
        <v>22</v>
      </c>
      <c r="L1012" s="21">
        <f t="shared" si="0"/>
        <v>100</v>
      </c>
      <c r="M1012" s="146">
        <v>11</v>
      </c>
      <c r="N1012" s="22">
        <f t="shared" si="1"/>
        <v>50</v>
      </c>
      <c r="O1012" s="146">
        <v>11</v>
      </c>
      <c r="P1012" s="22">
        <f t="shared" si="2"/>
        <v>100</v>
      </c>
      <c r="Q1012" s="23" t="s">
        <v>63</v>
      </c>
      <c r="R1012" s="24" t="str">
        <f t="shared" si="3"/>
        <v>X</v>
      </c>
      <c r="S1012" s="25" t="s">
        <v>60</v>
      </c>
      <c r="T1012" s="26" t="str">
        <f>IF('PL1(Full)'!$N1012&gt;=20,"x",IF(AND('PL1(Full)'!$N1012&gt;=15,'PL1(Full)'!$P1012&gt;60),"x",""))</f>
        <v>x</v>
      </c>
      <c r="U1012" s="27" t="str">
        <f>IF(AND('PL1(Full)'!$H1012="Thôn",'PL1(Full)'!$I1012&lt;75),"x",IF(AND('PL1(Full)'!$H1012="Tổ",'PL1(Full)'!$I1012&lt;100),"x","-"))</f>
        <v>x</v>
      </c>
      <c r="V1012" s="28" t="str">
        <f>IF(AND('PL1(Full)'!$H1012="Thôn",'PL1(Full)'!$I1012&lt;140),"x",IF(AND('PL1(Full)'!$H1012="Tổ",'PL1(Full)'!$I1012&lt;210),"x","-"))</f>
        <v>x</v>
      </c>
      <c r="W1012" s="29" t="str">
        <f t="shared" si="175"/>
        <v>Loại 3</v>
      </c>
      <c r="X1012" s="25"/>
    </row>
    <row r="1013" spans="1:24" ht="15.75" customHeight="1">
      <c r="A1013" s="30">
        <f>_xlfn.AGGREGATE(4,7,A$6:A1012)+1</f>
        <v>760</v>
      </c>
      <c r="B1013" s="31" t="str">
        <f t="shared" si="173"/>
        <v>H. Ngân Sơn</v>
      </c>
      <c r="C1013" s="31" t="str">
        <f t="shared" ref="C1013:C1028" si="180">C1012</f>
        <v>X. Thuần Mang</v>
      </c>
      <c r="D1013" s="34"/>
      <c r="E1013" s="34" t="s">
        <v>58</v>
      </c>
      <c r="F1013" s="31" t="s">
        <v>899</v>
      </c>
      <c r="G1013" s="34"/>
      <c r="H1013" s="34" t="str">
        <f>IF(LEFT('PL1(Full)'!$F1013,4)="Thôn","Thôn","Tổ")</f>
        <v>Thôn</v>
      </c>
      <c r="I1013" s="69">
        <v>60</v>
      </c>
      <c r="J1013" s="69">
        <v>265</v>
      </c>
      <c r="K1013" s="69">
        <v>59</v>
      </c>
      <c r="L1013" s="37">
        <f t="shared" si="0"/>
        <v>98.333333333333329</v>
      </c>
      <c r="M1013" s="69">
        <v>13</v>
      </c>
      <c r="N1013" s="38">
        <f t="shared" si="1"/>
        <v>21.666666666666668</v>
      </c>
      <c r="O1013" s="69">
        <v>12</v>
      </c>
      <c r="P1013" s="38">
        <f t="shared" si="2"/>
        <v>92.307692307692307</v>
      </c>
      <c r="Q1013" s="39" t="s">
        <v>158</v>
      </c>
      <c r="R1013" s="39" t="str">
        <f t="shared" si="3"/>
        <v>X</v>
      </c>
      <c r="S1013" s="34"/>
      <c r="T1013" s="34" t="str">
        <f>IF('PL1(Full)'!$N1013&gt;=20,"x",IF(AND('PL1(Full)'!$N1013&gt;=15,'PL1(Full)'!$P1013&gt;60),"x",""))</f>
        <v>x</v>
      </c>
      <c r="U1013" s="34" t="str">
        <f>IF(AND('PL1(Full)'!$H1013="Thôn",'PL1(Full)'!$I1013&lt;75),"x",IF(AND('PL1(Full)'!$H1013="Tổ",'PL1(Full)'!$I1013&lt;100),"x","-"))</f>
        <v>x</v>
      </c>
      <c r="V1013" s="34" t="str">
        <f>IF(AND('PL1(Full)'!$H1013="Thôn",'PL1(Full)'!$I1013&lt;140),"x",IF(AND('PL1(Full)'!$H1013="Tổ",'PL1(Full)'!$I1013&lt;210),"x","-"))</f>
        <v>x</v>
      </c>
      <c r="W1013" s="40" t="str">
        <f t="shared" si="175"/>
        <v>Loại 3</v>
      </c>
      <c r="X1013" s="34"/>
    </row>
    <row r="1014" spans="1:24" ht="15.75" customHeight="1">
      <c r="A1014" s="30">
        <f>_xlfn.AGGREGATE(4,7,A$6:A1013)+1</f>
        <v>761</v>
      </c>
      <c r="B1014" s="31" t="str">
        <f t="shared" si="173"/>
        <v>H. Ngân Sơn</v>
      </c>
      <c r="C1014" s="31" t="str">
        <f t="shared" si="180"/>
        <v>X. Thuần Mang</v>
      </c>
      <c r="D1014" s="34"/>
      <c r="E1014" s="34" t="s">
        <v>58</v>
      </c>
      <c r="F1014" s="31" t="s">
        <v>1085</v>
      </c>
      <c r="G1014" s="34"/>
      <c r="H1014" s="34" t="str">
        <f>IF(LEFT('PL1(Full)'!$F1014,4)="Thôn","Thôn","Tổ")</f>
        <v>Thôn</v>
      </c>
      <c r="I1014" s="36">
        <v>39</v>
      </c>
      <c r="J1014" s="36">
        <v>108</v>
      </c>
      <c r="K1014" s="36">
        <v>39</v>
      </c>
      <c r="L1014" s="37">
        <f t="shared" si="0"/>
        <v>100</v>
      </c>
      <c r="M1014" s="69">
        <v>27</v>
      </c>
      <c r="N1014" s="38">
        <f t="shared" si="1"/>
        <v>69.230769230769226</v>
      </c>
      <c r="O1014" s="69">
        <v>27</v>
      </c>
      <c r="P1014" s="38">
        <f t="shared" si="2"/>
        <v>100</v>
      </c>
      <c r="Q1014" s="39" t="s">
        <v>63</v>
      </c>
      <c r="R1014" s="39" t="str">
        <f t="shared" si="3"/>
        <v>X</v>
      </c>
      <c r="S1014" s="34" t="s">
        <v>60</v>
      </c>
      <c r="T1014" s="34" t="str">
        <f>IF('PL1(Full)'!$N1014&gt;=20,"x",IF(AND('PL1(Full)'!$N1014&gt;=15,'PL1(Full)'!$P1014&gt;60),"x",""))</f>
        <v>x</v>
      </c>
      <c r="U1014" s="34" t="str">
        <f>IF(AND('PL1(Full)'!$H1014="Thôn",'PL1(Full)'!$I1014&lt;75),"x",IF(AND('PL1(Full)'!$H1014="Tổ",'PL1(Full)'!$I1014&lt;100),"x","-"))</f>
        <v>x</v>
      </c>
      <c r="V1014" s="34" t="str">
        <f>IF(AND('PL1(Full)'!$H1014="Thôn",'PL1(Full)'!$I1014&lt;140),"x",IF(AND('PL1(Full)'!$H1014="Tổ",'PL1(Full)'!$I1014&lt;210),"x","-"))</f>
        <v>x</v>
      </c>
      <c r="W1014" s="40" t="str">
        <f t="shared" si="175"/>
        <v>Loại 3</v>
      </c>
      <c r="X1014" s="34"/>
    </row>
    <row r="1015" spans="1:24" ht="15.75" customHeight="1">
      <c r="A1015" s="30">
        <f>_xlfn.AGGREGATE(4,7,A$6:A1014)+1</f>
        <v>762</v>
      </c>
      <c r="B1015" s="31" t="str">
        <f t="shared" si="173"/>
        <v>H. Ngân Sơn</v>
      </c>
      <c r="C1015" s="31" t="str">
        <f t="shared" si="180"/>
        <v>X. Thuần Mang</v>
      </c>
      <c r="D1015" s="34"/>
      <c r="E1015" s="34" t="s">
        <v>58</v>
      </c>
      <c r="F1015" s="31" t="s">
        <v>1086</v>
      </c>
      <c r="G1015" s="34"/>
      <c r="H1015" s="34" t="str">
        <f>IF(LEFT('PL1(Full)'!$F1015,4)="Thôn","Thôn","Tổ")</f>
        <v>Thôn</v>
      </c>
      <c r="I1015" s="36">
        <v>48</v>
      </c>
      <c r="J1015" s="36">
        <v>213</v>
      </c>
      <c r="K1015" s="36">
        <v>448</v>
      </c>
      <c r="L1015" s="37">
        <f t="shared" si="0"/>
        <v>933.33333333333337</v>
      </c>
      <c r="M1015" s="69">
        <v>44</v>
      </c>
      <c r="N1015" s="38">
        <f t="shared" si="1"/>
        <v>91.666666666666671</v>
      </c>
      <c r="O1015" s="69">
        <v>44</v>
      </c>
      <c r="P1015" s="38">
        <f t="shared" si="2"/>
        <v>100</v>
      </c>
      <c r="Q1015" s="39" t="s">
        <v>158</v>
      </c>
      <c r="R1015" s="39" t="str">
        <f t="shared" si="3"/>
        <v>X</v>
      </c>
      <c r="S1015" s="34" t="s">
        <v>60</v>
      </c>
      <c r="T1015" s="34" t="str">
        <f>IF('PL1(Full)'!$N1015&gt;=20,"x",IF(AND('PL1(Full)'!$N1015&gt;=15,'PL1(Full)'!$P1015&gt;60),"x",""))</f>
        <v>x</v>
      </c>
      <c r="U1015" s="34" t="str">
        <f>IF(AND('PL1(Full)'!$H1015="Thôn",'PL1(Full)'!$I1015&lt;75),"x",IF(AND('PL1(Full)'!$H1015="Tổ",'PL1(Full)'!$I1015&lt;100),"x","-"))</f>
        <v>x</v>
      </c>
      <c r="V1015" s="34" t="str">
        <f>IF(AND('PL1(Full)'!$H1015="Thôn",'PL1(Full)'!$I1015&lt;140),"x",IF(AND('PL1(Full)'!$H1015="Tổ",'PL1(Full)'!$I1015&lt;210),"x","-"))</f>
        <v>x</v>
      </c>
      <c r="W1015" s="40" t="str">
        <f t="shared" si="175"/>
        <v>Loại 3</v>
      </c>
      <c r="X1015" s="34"/>
    </row>
    <row r="1016" spans="1:24" ht="15.75" customHeight="1">
      <c r="A1016" s="30">
        <f>_xlfn.AGGREGATE(4,7,A$6:A1015)+1</f>
        <v>763</v>
      </c>
      <c r="B1016" s="31" t="str">
        <f t="shared" si="173"/>
        <v>H. Ngân Sơn</v>
      </c>
      <c r="C1016" s="31" t="str">
        <f t="shared" si="180"/>
        <v>X. Thuần Mang</v>
      </c>
      <c r="D1016" s="34"/>
      <c r="E1016" s="34" t="s">
        <v>58</v>
      </c>
      <c r="F1016" s="31" t="s">
        <v>1087</v>
      </c>
      <c r="G1016" s="34"/>
      <c r="H1016" s="34" t="str">
        <f>IF(LEFT('PL1(Full)'!$F1016,4)="Thôn","Thôn","Tổ")</f>
        <v>Thôn</v>
      </c>
      <c r="I1016" s="36">
        <v>21</v>
      </c>
      <c r="J1016" s="36">
        <v>81</v>
      </c>
      <c r="K1016" s="36">
        <v>21</v>
      </c>
      <c r="L1016" s="37">
        <f t="shared" si="0"/>
        <v>100</v>
      </c>
      <c r="M1016" s="69">
        <v>16</v>
      </c>
      <c r="N1016" s="38">
        <f t="shared" si="1"/>
        <v>76.19047619047619</v>
      </c>
      <c r="O1016" s="69">
        <v>16</v>
      </c>
      <c r="P1016" s="38">
        <f t="shared" si="2"/>
        <v>100</v>
      </c>
      <c r="Q1016" s="39" t="s">
        <v>63</v>
      </c>
      <c r="R1016" s="39" t="str">
        <f t="shared" si="3"/>
        <v>X</v>
      </c>
      <c r="S1016" s="34" t="s">
        <v>60</v>
      </c>
      <c r="T1016" s="34" t="str">
        <f>IF('PL1(Full)'!$N1016&gt;=20,"x",IF(AND('PL1(Full)'!$N1016&gt;=15,'PL1(Full)'!$P1016&gt;60),"x",""))</f>
        <v>x</v>
      </c>
      <c r="U1016" s="34" t="str">
        <f>IF(AND('PL1(Full)'!$H1016="Thôn",'PL1(Full)'!$I1016&lt;75),"x",IF(AND('PL1(Full)'!$H1016="Tổ",'PL1(Full)'!$I1016&lt;100),"x","-"))</f>
        <v>x</v>
      </c>
      <c r="V1016" s="34" t="str">
        <f>IF(AND('PL1(Full)'!$H1016="Thôn",'PL1(Full)'!$I1016&lt;140),"x",IF(AND('PL1(Full)'!$H1016="Tổ",'PL1(Full)'!$I1016&lt;210),"x","-"))</f>
        <v>x</v>
      </c>
      <c r="W1016" s="40" t="str">
        <f t="shared" si="175"/>
        <v>Loại 3</v>
      </c>
      <c r="X1016" s="34"/>
    </row>
    <row r="1017" spans="1:24" ht="15.75" customHeight="1">
      <c r="A1017" s="30">
        <f>_xlfn.AGGREGATE(4,7,A$6:A1016)+1</f>
        <v>764</v>
      </c>
      <c r="B1017" s="31" t="str">
        <f t="shared" si="173"/>
        <v>H. Ngân Sơn</v>
      </c>
      <c r="C1017" s="31" t="str">
        <f t="shared" si="180"/>
        <v>X. Thuần Mang</v>
      </c>
      <c r="D1017" s="34"/>
      <c r="E1017" s="34" t="s">
        <v>58</v>
      </c>
      <c r="F1017" s="31" t="s">
        <v>1088</v>
      </c>
      <c r="G1017" s="34"/>
      <c r="H1017" s="34" t="str">
        <f>IF(LEFT('PL1(Full)'!$F1017,4)="Thôn","Thôn","Tổ")</f>
        <v>Thôn</v>
      </c>
      <c r="I1017" s="36">
        <v>14</v>
      </c>
      <c r="J1017" s="36">
        <v>54</v>
      </c>
      <c r="K1017" s="36">
        <v>14</v>
      </c>
      <c r="L1017" s="37">
        <f t="shared" si="0"/>
        <v>100</v>
      </c>
      <c r="M1017" s="36">
        <v>11</v>
      </c>
      <c r="N1017" s="38">
        <f t="shared" si="1"/>
        <v>78.571428571428569</v>
      </c>
      <c r="O1017" s="36">
        <v>11</v>
      </c>
      <c r="P1017" s="38">
        <f t="shared" si="2"/>
        <v>100</v>
      </c>
      <c r="Q1017" s="39" t="s">
        <v>52</v>
      </c>
      <c r="R1017" s="39" t="str">
        <f t="shared" si="3"/>
        <v>C</v>
      </c>
      <c r="S1017" s="34" t="s">
        <v>60</v>
      </c>
      <c r="T1017" s="34" t="str">
        <f>IF('PL1(Full)'!$N1017&gt;=20,"x",IF(AND('PL1(Full)'!$N1017&gt;=15,'PL1(Full)'!$P1017&gt;60),"x",""))</f>
        <v>x</v>
      </c>
      <c r="U1017" s="34" t="str">
        <f>IF(AND('PL1(Full)'!$H1017="Thôn",'PL1(Full)'!$I1017&lt;75),"x",IF(AND('PL1(Full)'!$H1017="Tổ",'PL1(Full)'!$I1017&lt;100),"x","-"))</f>
        <v>x</v>
      </c>
      <c r="V1017" s="34" t="str">
        <f>IF(AND('PL1(Full)'!$H1017="Thôn",'PL1(Full)'!$I1017&lt;140),"x",IF(AND('PL1(Full)'!$H1017="Tổ",'PL1(Full)'!$I1017&lt;210),"x","-"))</f>
        <v>x</v>
      </c>
      <c r="W1017" s="40" t="str">
        <f t="shared" si="175"/>
        <v>Loại 3</v>
      </c>
      <c r="X1017" s="34"/>
    </row>
    <row r="1018" spans="1:24" ht="15.75" hidden="1" customHeight="1">
      <c r="A1018" s="30">
        <f>_xlfn.AGGREGATE(4,7,A$6:A1017)+1</f>
        <v>765</v>
      </c>
      <c r="B1018" s="31" t="str">
        <f t="shared" si="173"/>
        <v>H. Ngân Sơn</v>
      </c>
      <c r="C1018" s="31" t="str">
        <f t="shared" si="180"/>
        <v>X. Thuần Mang</v>
      </c>
      <c r="D1018" s="34"/>
      <c r="E1018" s="34" t="s">
        <v>58</v>
      </c>
      <c r="F1018" s="31" t="s">
        <v>931</v>
      </c>
      <c r="G1018" s="34"/>
      <c r="H1018" s="34" t="str">
        <f>IF(LEFT('PL1(Full)'!$F1018,4)="Thôn","Thôn","Tổ")</f>
        <v>Thôn</v>
      </c>
      <c r="I1018" s="69">
        <v>87</v>
      </c>
      <c r="J1018" s="69">
        <v>395</v>
      </c>
      <c r="K1018" s="69">
        <v>87</v>
      </c>
      <c r="L1018" s="37">
        <f t="shared" si="0"/>
        <v>100</v>
      </c>
      <c r="M1018" s="69">
        <v>6</v>
      </c>
      <c r="N1018" s="38">
        <f t="shared" si="1"/>
        <v>6.8965517241379306</v>
      </c>
      <c r="O1018" s="69">
        <v>6</v>
      </c>
      <c r="P1018" s="38">
        <f t="shared" si="2"/>
        <v>100</v>
      </c>
      <c r="Q1018" s="39" t="s">
        <v>49</v>
      </c>
      <c r="R1018" s="39" t="str">
        <f t="shared" si="3"/>
        <v>X</v>
      </c>
      <c r="S1018" s="34"/>
      <c r="T1018" s="34" t="str">
        <f>IF('PL1(Full)'!$N1018&gt;=20,"x",IF(AND('PL1(Full)'!$N1018&gt;=15,'PL1(Full)'!$P1018&gt;60),"x",""))</f>
        <v/>
      </c>
      <c r="U1018" s="34" t="str">
        <f>IF(AND('PL1(Full)'!$H1018="Thôn",'PL1(Full)'!$I1018&lt;75),"x",IF(AND('PL1(Full)'!$H1018="Tổ",'PL1(Full)'!$I1018&lt;100),"x","-"))</f>
        <v>-</v>
      </c>
      <c r="V1018" s="34" t="str">
        <f>IF(AND('PL1(Full)'!$H1018="Thôn",'PL1(Full)'!$I1018&lt;140),"x",IF(AND('PL1(Full)'!$H1018="Tổ",'PL1(Full)'!$I1018&lt;210),"x","-"))</f>
        <v>x</v>
      </c>
      <c r="W1018" s="40" t="str">
        <f t="shared" si="175"/>
        <v>Loại 3</v>
      </c>
      <c r="X1018" s="34"/>
    </row>
    <row r="1019" spans="1:24" ht="15.75" customHeight="1">
      <c r="A1019" s="30">
        <f>_xlfn.AGGREGATE(4,7,A$6:A1018)+1</f>
        <v>765</v>
      </c>
      <c r="B1019" s="31" t="str">
        <f t="shared" si="173"/>
        <v>H. Ngân Sơn</v>
      </c>
      <c r="C1019" s="31" t="str">
        <f t="shared" si="180"/>
        <v>X. Thuần Mang</v>
      </c>
      <c r="D1019" s="34"/>
      <c r="E1019" s="34" t="s">
        <v>58</v>
      </c>
      <c r="F1019" s="31" t="s">
        <v>1089</v>
      </c>
      <c r="G1019" s="34"/>
      <c r="H1019" s="34" t="str">
        <f>IF(LEFT('PL1(Full)'!$F1019,4)="Thôn","Thôn","Tổ")</f>
        <v>Thôn</v>
      </c>
      <c r="I1019" s="69">
        <v>38</v>
      </c>
      <c r="J1019" s="69">
        <v>183</v>
      </c>
      <c r="K1019" s="69">
        <v>38</v>
      </c>
      <c r="L1019" s="37">
        <f t="shared" si="0"/>
        <v>100</v>
      </c>
      <c r="M1019" s="69">
        <v>37</v>
      </c>
      <c r="N1019" s="38">
        <f t="shared" si="1"/>
        <v>97.368421052631575</v>
      </c>
      <c r="O1019" s="69">
        <v>37</v>
      </c>
      <c r="P1019" s="38">
        <f t="shared" si="2"/>
        <v>100</v>
      </c>
      <c r="Q1019" s="39" t="s">
        <v>154</v>
      </c>
      <c r="R1019" s="39" t="str">
        <f t="shared" si="3"/>
        <v>X</v>
      </c>
      <c r="S1019" s="34" t="s">
        <v>60</v>
      </c>
      <c r="T1019" s="34" t="str">
        <f>IF('PL1(Full)'!$N1019&gt;=20,"x",IF(AND('PL1(Full)'!$N1019&gt;=15,'PL1(Full)'!$P1019&gt;60),"x",""))</f>
        <v>x</v>
      </c>
      <c r="U1019" s="34" t="str">
        <f>IF(AND('PL1(Full)'!$H1019="Thôn",'PL1(Full)'!$I1019&lt;75),"x",IF(AND('PL1(Full)'!$H1019="Tổ",'PL1(Full)'!$I1019&lt;100),"x","-"))</f>
        <v>x</v>
      </c>
      <c r="V1019" s="34" t="str">
        <f>IF(AND('PL1(Full)'!$H1019="Thôn",'PL1(Full)'!$I1019&lt;140),"x",IF(AND('PL1(Full)'!$H1019="Tổ",'PL1(Full)'!$I1019&lt;210),"x","-"))</f>
        <v>x</v>
      </c>
      <c r="W1019" s="40" t="str">
        <f t="shared" si="175"/>
        <v>Loại 3</v>
      </c>
      <c r="X1019" s="34"/>
    </row>
    <row r="1020" spans="1:24" ht="15.75" customHeight="1">
      <c r="A1020" s="30">
        <f>_xlfn.AGGREGATE(4,7,A$6:A1019)+1</f>
        <v>766</v>
      </c>
      <c r="B1020" s="31" t="str">
        <f t="shared" si="173"/>
        <v>H. Ngân Sơn</v>
      </c>
      <c r="C1020" s="31" t="str">
        <f t="shared" si="180"/>
        <v>X. Thuần Mang</v>
      </c>
      <c r="D1020" s="34"/>
      <c r="E1020" s="34" t="s">
        <v>58</v>
      </c>
      <c r="F1020" s="31" t="s">
        <v>1090</v>
      </c>
      <c r="G1020" s="34"/>
      <c r="H1020" s="34" t="str">
        <f>IF(LEFT('PL1(Full)'!$F1020,4)="Thôn","Thôn","Tổ")</f>
        <v>Thôn</v>
      </c>
      <c r="I1020" s="69">
        <v>17</v>
      </c>
      <c r="J1020" s="69">
        <v>82</v>
      </c>
      <c r="K1020" s="69">
        <v>17</v>
      </c>
      <c r="L1020" s="37">
        <f t="shared" si="0"/>
        <v>100</v>
      </c>
      <c r="M1020" s="69">
        <v>17</v>
      </c>
      <c r="N1020" s="38">
        <f t="shared" si="1"/>
        <v>100</v>
      </c>
      <c r="O1020" s="69">
        <v>17</v>
      </c>
      <c r="P1020" s="38">
        <f t="shared" si="2"/>
        <v>100</v>
      </c>
      <c r="Q1020" s="39" t="s">
        <v>63</v>
      </c>
      <c r="R1020" s="39" t="str">
        <f t="shared" si="3"/>
        <v>X</v>
      </c>
      <c r="S1020" s="34" t="s">
        <v>60</v>
      </c>
      <c r="T1020" s="34" t="str">
        <f>IF('PL1(Full)'!$N1020&gt;=20,"x",IF(AND('PL1(Full)'!$N1020&gt;=15,'PL1(Full)'!$P1020&gt;60),"x",""))</f>
        <v>x</v>
      </c>
      <c r="U1020" s="34" t="str">
        <f>IF(AND('PL1(Full)'!$H1020="Thôn",'PL1(Full)'!$I1020&lt;75),"x",IF(AND('PL1(Full)'!$H1020="Tổ",'PL1(Full)'!$I1020&lt;100),"x","-"))</f>
        <v>x</v>
      </c>
      <c r="V1020" s="34" t="str">
        <f>IF(AND('PL1(Full)'!$H1020="Thôn",'PL1(Full)'!$I1020&lt;140),"x",IF(AND('PL1(Full)'!$H1020="Tổ",'PL1(Full)'!$I1020&lt;210),"x","-"))</f>
        <v>x</v>
      </c>
      <c r="W1020" s="40" t="str">
        <f t="shared" si="175"/>
        <v>Loại 3</v>
      </c>
      <c r="X1020" s="34"/>
    </row>
    <row r="1021" spans="1:24" ht="15.75" customHeight="1">
      <c r="A1021" s="30">
        <f>_xlfn.AGGREGATE(4,7,A$6:A1020)+1</f>
        <v>767</v>
      </c>
      <c r="B1021" s="31" t="str">
        <f t="shared" si="173"/>
        <v>H. Ngân Sơn</v>
      </c>
      <c r="C1021" s="31" t="str">
        <f t="shared" si="180"/>
        <v>X. Thuần Mang</v>
      </c>
      <c r="D1021" s="34"/>
      <c r="E1021" s="34" t="s">
        <v>58</v>
      </c>
      <c r="F1021" s="31" t="s">
        <v>965</v>
      </c>
      <c r="G1021" s="34"/>
      <c r="H1021" s="34" t="str">
        <f>IF(LEFT('PL1(Full)'!$F1021,4)="Thôn","Thôn","Tổ")</f>
        <v>Thôn</v>
      </c>
      <c r="I1021" s="69">
        <v>36</v>
      </c>
      <c r="J1021" s="69">
        <v>166</v>
      </c>
      <c r="K1021" s="69">
        <v>36</v>
      </c>
      <c r="L1021" s="37">
        <f t="shared" si="0"/>
        <v>100</v>
      </c>
      <c r="M1021" s="69">
        <v>23</v>
      </c>
      <c r="N1021" s="38">
        <f t="shared" si="1"/>
        <v>63.888888888888886</v>
      </c>
      <c r="O1021" s="69">
        <v>23</v>
      </c>
      <c r="P1021" s="38">
        <f t="shared" si="2"/>
        <v>100</v>
      </c>
      <c r="Q1021" s="39" t="s">
        <v>63</v>
      </c>
      <c r="R1021" s="39" t="str">
        <f t="shared" si="3"/>
        <v>X</v>
      </c>
      <c r="S1021" s="34" t="s">
        <v>60</v>
      </c>
      <c r="T1021" s="34" t="str">
        <f>IF('PL1(Full)'!$N1021&gt;=20,"x",IF(AND('PL1(Full)'!$N1021&gt;=15,'PL1(Full)'!$P1021&gt;60),"x",""))</f>
        <v>x</v>
      </c>
      <c r="U1021" s="34" t="str">
        <f>IF(AND('PL1(Full)'!$H1021="Thôn",'PL1(Full)'!$I1021&lt;75),"x",IF(AND('PL1(Full)'!$H1021="Tổ",'PL1(Full)'!$I1021&lt;100),"x","-"))</f>
        <v>x</v>
      </c>
      <c r="V1021" s="34" t="str">
        <f>IF(AND('PL1(Full)'!$H1021="Thôn",'PL1(Full)'!$I1021&lt;140),"x",IF(AND('PL1(Full)'!$H1021="Tổ",'PL1(Full)'!$I1021&lt;210),"x","-"))</f>
        <v>x</v>
      </c>
      <c r="W1021" s="40" t="str">
        <f t="shared" si="175"/>
        <v>Loại 3</v>
      </c>
      <c r="X1021" s="34"/>
    </row>
    <row r="1022" spans="1:24" ht="15.75" customHeight="1">
      <c r="A1022" s="30">
        <f>_xlfn.AGGREGATE(4,7,A$6:A1021)+1</f>
        <v>768</v>
      </c>
      <c r="B1022" s="31" t="str">
        <f t="shared" si="173"/>
        <v>H. Ngân Sơn</v>
      </c>
      <c r="C1022" s="31" t="str">
        <f t="shared" si="180"/>
        <v>X. Thuần Mang</v>
      </c>
      <c r="D1022" s="34"/>
      <c r="E1022" s="34" t="s">
        <v>58</v>
      </c>
      <c r="F1022" s="31" t="s">
        <v>1091</v>
      </c>
      <c r="G1022" s="34"/>
      <c r="H1022" s="34" t="str">
        <f>IF(LEFT('PL1(Full)'!$F1022,4)="Thôn","Thôn","Tổ")</f>
        <v>Thôn</v>
      </c>
      <c r="I1022" s="36">
        <v>36</v>
      </c>
      <c r="J1022" s="36">
        <v>156</v>
      </c>
      <c r="K1022" s="36">
        <v>36</v>
      </c>
      <c r="L1022" s="37">
        <f t="shared" si="0"/>
        <v>100</v>
      </c>
      <c r="M1022" s="69">
        <v>33</v>
      </c>
      <c r="N1022" s="38">
        <f t="shared" si="1"/>
        <v>91.666666666666671</v>
      </c>
      <c r="O1022" s="69">
        <v>33</v>
      </c>
      <c r="P1022" s="38">
        <f t="shared" si="2"/>
        <v>100</v>
      </c>
      <c r="Q1022" s="39" t="s">
        <v>63</v>
      </c>
      <c r="R1022" s="39" t="str">
        <f t="shared" si="3"/>
        <v>X</v>
      </c>
      <c r="S1022" s="34" t="s">
        <v>60</v>
      </c>
      <c r="T1022" s="34" t="str">
        <f>IF('PL1(Full)'!$N1022&gt;=20,"x",IF(AND('PL1(Full)'!$N1022&gt;=15,'PL1(Full)'!$P1022&gt;60),"x",""))</f>
        <v>x</v>
      </c>
      <c r="U1022" s="34" t="str">
        <f>IF(AND('PL1(Full)'!$H1022="Thôn",'PL1(Full)'!$I1022&lt;75),"x",IF(AND('PL1(Full)'!$H1022="Tổ",'PL1(Full)'!$I1022&lt;100),"x","-"))</f>
        <v>x</v>
      </c>
      <c r="V1022" s="34" t="str">
        <f>IF(AND('PL1(Full)'!$H1022="Thôn",'PL1(Full)'!$I1022&lt;140),"x",IF(AND('PL1(Full)'!$H1022="Tổ",'PL1(Full)'!$I1022&lt;210),"x","-"))</f>
        <v>x</v>
      </c>
      <c r="W1022" s="40" t="str">
        <f t="shared" si="175"/>
        <v>Loại 3</v>
      </c>
      <c r="X1022" s="34"/>
    </row>
    <row r="1023" spans="1:24" ht="15.75" customHeight="1">
      <c r="A1023" s="30">
        <f>_xlfn.AGGREGATE(4,7,A$6:A1022)+1</f>
        <v>769</v>
      </c>
      <c r="B1023" s="31" t="str">
        <f t="shared" si="173"/>
        <v>H. Ngân Sơn</v>
      </c>
      <c r="C1023" s="31" t="str">
        <f t="shared" si="180"/>
        <v>X. Thuần Mang</v>
      </c>
      <c r="D1023" s="34"/>
      <c r="E1023" s="34" t="s">
        <v>58</v>
      </c>
      <c r="F1023" s="31" t="s">
        <v>1092</v>
      </c>
      <c r="G1023" s="34"/>
      <c r="H1023" s="34" t="str">
        <f>IF(LEFT('PL1(Full)'!$F1023,4)="Thôn","Thôn","Tổ")</f>
        <v>Thôn</v>
      </c>
      <c r="I1023" s="69">
        <v>42</v>
      </c>
      <c r="J1023" s="69">
        <v>193</v>
      </c>
      <c r="K1023" s="69">
        <v>41</v>
      </c>
      <c r="L1023" s="37">
        <f t="shared" si="0"/>
        <v>97.61904761904762</v>
      </c>
      <c r="M1023" s="69">
        <v>23</v>
      </c>
      <c r="N1023" s="38">
        <f t="shared" si="1"/>
        <v>54.761904761904759</v>
      </c>
      <c r="O1023" s="69">
        <v>22</v>
      </c>
      <c r="P1023" s="38">
        <f t="shared" si="2"/>
        <v>95.652173913043484</v>
      </c>
      <c r="Q1023" s="39" t="s">
        <v>63</v>
      </c>
      <c r="R1023" s="39" t="str">
        <f t="shared" si="3"/>
        <v>X</v>
      </c>
      <c r="S1023" s="34" t="s">
        <v>60</v>
      </c>
      <c r="T1023" s="34" t="str">
        <f>IF('PL1(Full)'!$N1023&gt;=20,"x",IF(AND('PL1(Full)'!$N1023&gt;=15,'PL1(Full)'!$P1023&gt;60),"x",""))</f>
        <v>x</v>
      </c>
      <c r="U1023" s="34" t="str">
        <f>IF(AND('PL1(Full)'!$H1023="Thôn",'PL1(Full)'!$I1023&lt;75),"x",IF(AND('PL1(Full)'!$H1023="Tổ",'PL1(Full)'!$I1023&lt;100),"x","-"))</f>
        <v>x</v>
      </c>
      <c r="V1023" s="34" t="str">
        <f>IF(AND('PL1(Full)'!$H1023="Thôn",'PL1(Full)'!$I1023&lt;140),"x",IF(AND('PL1(Full)'!$H1023="Tổ",'PL1(Full)'!$I1023&lt;210),"x","-"))</f>
        <v>x</v>
      </c>
      <c r="W1023" s="40" t="str">
        <f t="shared" si="175"/>
        <v>Loại 3</v>
      </c>
      <c r="X1023" s="34"/>
    </row>
    <row r="1024" spans="1:24" ht="15.75" customHeight="1">
      <c r="A1024" s="30">
        <f>_xlfn.AGGREGATE(4,7,A$6:A1023)+1</f>
        <v>770</v>
      </c>
      <c r="B1024" s="31" t="str">
        <f t="shared" si="173"/>
        <v>H. Ngân Sơn</v>
      </c>
      <c r="C1024" s="31" t="str">
        <f t="shared" si="180"/>
        <v>X. Thuần Mang</v>
      </c>
      <c r="D1024" s="34"/>
      <c r="E1024" s="34" t="s">
        <v>58</v>
      </c>
      <c r="F1024" s="31" t="s">
        <v>936</v>
      </c>
      <c r="G1024" s="34"/>
      <c r="H1024" s="34" t="str">
        <f>IF(LEFT('PL1(Full)'!$F1024,4)="Thôn","Thôn","Tổ")</f>
        <v>Thôn</v>
      </c>
      <c r="I1024" s="69">
        <v>9</v>
      </c>
      <c r="J1024" s="69">
        <v>36</v>
      </c>
      <c r="K1024" s="69">
        <v>9</v>
      </c>
      <c r="L1024" s="37">
        <f t="shared" si="0"/>
        <v>100</v>
      </c>
      <c r="M1024" s="36">
        <v>8</v>
      </c>
      <c r="N1024" s="38">
        <f t="shared" si="1"/>
        <v>88.888888888888886</v>
      </c>
      <c r="O1024" s="36">
        <v>8</v>
      </c>
      <c r="P1024" s="38">
        <f t="shared" si="2"/>
        <v>100</v>
      </c>
      <c r="Q1024" s="39" t="s">
        <v>52</v>
      </c>
      <c r="R1024" s="39" t="str">
        <f t="shared" si="3"/>
        <v>C</v>
      </c>
      <c r="S1024" s="34" t="s">
        <v>60</v>
      </c>
      <c r="T1024" s="34" t="str">
        <f>IF('PL1(Full)'!$N1024&gt;=20,"x",IF(AND('PL1(Full)'!$N1024&gt;=15,'PL1(Full)'!$P1024&gt;60),"x",""))</f>
        <v>x</v>
      </c>
      <c r="U1024" s="34" t="str">
        <f>IF(AND('PL1(Full)'!$H1024="Thôn",'PL1(Full)'!$I1024&lt;75),"x",IF(AND('PL1(Full)'!$H1024="Tổ",'PL1(Full)'!$I1024&lt;100),"x","-"))</f>
        <v>x</v>
      </c>
      <c r="V1024" s="34" t="str">
        <f>IF(AND('PL1(Full)'!$H1024="Thôn",'PL1(Full)'!$I1024&lt;140),"x",IF(AND('PL1(Full)'!$H1024="Tổ",'PL1(Full)'!$I1024&lt;210),"x","-"))</f>
        <v>x</v>
      </c>
      <c r="W1024" s="40" t="str">
        <f t="shared" si="175"/>
        <v>Loại 3</v>
      </c>
      <c r="X1024" s="34"/>
    </row>
    <row r="1025" spans="1:24" ht="15.75" customHeight="1">
      <c r="A1025" s="30">
        <f>_xlfn.AGGREGATE(4,7,A$6:A1024)+1</f>
        <v>771</v>
      </c>
      <c r="B1025" s="31" t="str">
        <f t="shared" si="173"/>
        <v>H. Ngân Sơn</v>
      </c>
      <c r="C1025" s="31" t="str">
        <f t="shared" si="180"/>
        <v>X. Thuần Mang</v>
      </c>
      <c r="D1025" s="34"/>
      <c r="E1025" s="34" t="s">
        <v>58</v>
      </c>
      <c r="F1025" s="31" t="s">
        <v>1093</v>
      </c>
      <c r="G1025" s="34"/>
      <c r="H1025" s="34" t="str">
        <f>IF(LEFT('PL1(Full)'!$F1025,4)="Thôn","Thôn","Tổ")</f>
        <v>Thôn</v>
      </c>
      <c r="I1025" s="36">
        <v>28</v>
      </c>
      <c r="J1025" s="36">
        <v>118</v>
      </c>
      <c r="K1025" s="36">
        <v>28</v>
      </c>
      <c r="L1025" s="37">
        <f t="shared" si="0"/>
        <v>100</v>
      </c>
      <c r="M1025" s="69">
        <v>16</v>
      </c>
      <c r="N1025" s="38">
        <f t="shared" si="1"/>
        <v>57.142857142857146</v>
      </c>
      <c r="O1025" s="69">
        <v>16</v>
      </c>
      <c r="P1025" s="38">
        <f t="shared" si="2"/>
        <v>100</v>
      </c>
      <c r="Q1025" s="39" t="s">
        <v>154</v>
      </c>
      <c r="R1025" s="39" t="str">
        <f t="shared" si="3"/>
        <v>X</v>
      </c>
      <c r="S1025" s="34" t="s">
        <v>60</v>
      </c>
      <c r="T1025" s="34" t="str">
        <f>IF('PL1(Full)'!$N1025&gt;=20,"x",IF(AND('PL1(Full)'!$N1025&gt;=15,'PL1(Full)'!$P1025&gt;60),"x",""))</f>
        <v>x</v>
      </c>
      <c r="U1025" s="34" t="str">
        <f>IF(AND('PL1(Full)'!$H1025="Thôn",'PL1(Full)'!$I1025&lt;75),"x",IF(AND('PL1(Full)'!$H1025="Tổ",'PL1(Full)'!$I1025&lt;100),"x","-"))</f>
        <v>x</v>
      </c>
      <c r="V1025" s="34" t="str">
        <f>IF(AND('PL1(Full)'!$H1025="Thôn",'PL1(Full)'!$I1025&lt;140),"x",IF(AND('PL1(Full)'!$H1025="Tổ",'PL1(Full)'!$I1025&lt;210),"x","-"))</f>
        <v>x</v>
      </c>
      <c r="W1025" s="40" t="str">
        <f t="shared" si="175"/>
        <v>Loại 3</v>
      </c>
      <c r="X1025" s="34"/>
    </row>
    <row r="1026" spans="1:24" ht="15.75" customHeight="1">
      <c r="A1026" s="30">
        <f>_xlfn.AGGREGATE(4,7,A$6:A1025)+1</f>
        <v>772</v>
      </c>
      <c r="B1026" s="31" t="str">
        <f t="shared" si="173"/>
        <v>H. Ngân Sơn</v>
      </c>
      <c r="C1026" s="31" t="str">
        <f t="shared" si="180"/>
        <v>X. Thuần Mang</v>
      </c>
      <c r="D1026" s="34"/>
      <c r="E1026" s="34" t="s">
        <v>58</v>
      </c>
      <c r="F1026" s="31" t="s">
        <v>1094</v>
      </c>
      <c r="G1026" s="34"/>
      <c r="H1026" s="34" t="str">
        <f>IF(LEFT('PL1(Full)'!$F1026,4)="Thôn","Thôn","Tổ")</f>
        <v>Thôn</v>
      </c>
      <c r="I1026" s="69">
        <v>34</v>
      </c>
      <c r="J1026" s="69">
        <v>128</v>
      </c>
      <c r="K1026" s="69">
        <v>34</v>
      </c>
      <c r="L1026" s="37">
        <f t="shared" si="0"/>
        <v>100</v>
      </c>
      <c r="M1026" s="69">
        <v>16</v>
      </c>
      <c r="N1026" s="38">
        <f t="shared" si="1"/>
        <v>47.058823529411768</v>
      </c>
      <c r="O1026" s="69">
        <v>16</v>
      </c>
      <c r="P1026" s="38">
        <f t="shared" si="2"/>
        <v>100</v>
      </c>
      <c r="Q1026" s="39" t="s">
        <v>63</v>
      </c>
      <c r="R1026" s="39" t="str">
        <f t="shared" si="3"/>
        <v>X</v>
      </c>
      <c r="S1026" s="34" t="s">
        <v>60</v>
      </c>
      <c r="T1026" s="34" t="str">
        <f>IF('PL1(Full)'!$N1026&gt;=20,"x",IF(AND('PL1(Full)'!$N1026&gt;=15,'PL1(Full)'!$P1026&gt;60),"x",""))</f>
        <v>x</v>
      </c>
      <c r="U1026" s="34" t="str">
        <f>IF(AND('PL1(Full)'!$H1026="Thôn",'PL1(Full)'!$I1026&lt;75),"x",IF(AND('PL1(Full)'!$H1026="Tổ",'PL1(Full)'!$I1026&lt;100),"x","-"))</f>
        <v>x</v>
      </c>
      <c r="V1026" s="34" t="str">
        <f>IF(AND('PL1(Full)'!$H1026="Thôn",'PL1(Full)'!$I1026&lt;140),"x",IF(AND('PL1(Full)'!$H1026="Tổ",'PL1(Full)'!$I1026&lt;210),"x","-"))</f>
        <v>x</v>
      </c>
      <c r="W1026" s="40" t="str">
        <f t="shared" si="175"/>
        <v>Loại 3</v>
      </c>
      <c r="X1026" s="34"/>
    </row>
    <row r="1027" spans="1:24" ht="15.75" customHeight="1">
      <c r="A1027" s="30">
        <f>_xlfn.AGGREGATE(4,7,A$6:A1026)+1</f>
        <v>773</v>
      </c>
      <c r="B1027" s="31" t="str">
        <f t="shared" si="173"/>
        <v>H. Ngân Sơn</v>
      </c>
      <c r="C1027" s="31" t="str">
        <f t="shared" si="180"/>
        <v>X. Thuần Mang</v>
      </c>
      <c r="D1027" s="34"/>
      <c r="E1027" s="34" t="s">
        <v>58</v>
      </c>
      <c r="F1027" s="31" t="s">
        <v>1095</v>
      </c>
      <c r="G1027" s="34"/>
      <c r="H1027" s="34" t="str">
        <f>IF(LEFT('PL1(Full)'!$F1027,4)="Thôn","Thôn","Tổ")</f>
        <v>Thôn</v>
      </c>
      <c r="I1027" s="69">
        <v>37</v>
      </c>
      <c r="J1027" s="69">
        <v>169</v>
      </c>
      <c r="K1027" s="69">
        <v>37</v>
      </c>
      <c r="L1027" s="37">
        <f t="shared" si="0"/>
        <v>100</v>
      </c>
      <c r="M1027" s="69">
        <v>32</v>
      </c>
      <c r="N1027" s="38">
        <f t="shared" si="1"/>
        <v>86.486486486486484</v>
      </c>
      <c r="O1027" s="69">
        <v>32</v>
      </c>
      <c r="P1027" s="38">
        <f t="shared" si="2"/>
        <v>100</v>
      </c>
      <c r="Q1027" s="39" t="s">
        <v>63</v>
      </c>
      <c r="R1027" s="39" t="str">
        <f t="shared" si="3"/>
        <v>X</v>
      </c>
      <c r="S1027" s="34" t="s">
        <v>60</v>
      </c>
      <c r="T1027" s="34" t="str">
        <f>IF('PL1(Full)'!$N1027&gt;=20,"x",IF(AND('PL1(Full)'!$N1027&gt;=15,'PL1(Full)'!$P1027&gt;60),"x",""))</f>
        <v>x</v>
      </c>
      <c r="U1027" s="34" t="str">
        <f>IF(AND('PL1(Full)'!$H1027="Thôn",'PL1(Full)'!$I1027&lt;75),"x",IF(AND('PL1(Full)'!$H1027="Tổ",'PL1(Full)'!$I1027&lt;100),"x","-"))</f>
        <v>x</v>
      </c>
      <c r="V1027" s="34" t="str">
        <f>IF(AND('PL1(Full)'!$H1027="Thôn",'PL1(Full)'!$I1027&lt;140),"x",IF(AND('PL1(Full)'!$H1027="Tổ",'PL1(Full)'!$I1027&lt;210),"x","-"))</f>
        <v>x</v>
      </c>
      <c r="W1027" s="40" t="str">
        <f t="shared" si="175"/>
        <v>Loại 3</v>
      </c>
      <c r="X1027" s="34"/>
    </row>
    <row r="1028" spans="1:24" ht="15.75" customHeight="1">
      <c r="A1028" s="41">
        <f>_xlfn.AGGREGATE(4,7,A$6:A1027)+1</f>
        <v>774</v>
      </c>
      <c r="B1028" s="42" t="str">
        <f t="shared" si="173"/>
        <v>H. Ngân Sơn</v>
      </c>
      <c r="C1028" s="42" t="str">
        <f t="shared" si="180"/>
        <v>X. Thuần Mang</v>
      </c>
      <c r="D1028" s="50"/>
      <c r="E1028" s="50" t="s">
        <v>58</v>
      </c>
      <c r="F1028" s="42" t="s">
        <v>1096</v>
      </c>
      <c r="G1028" s="50"/>
      <c r="H1028" s="50" t="str">
        <f>IF(LEFT('PL1(Full)'!$F1028,4)="Thôn","Thôn","Tổ")</f>
        <v>Thôn</v>
      </c>
      <c r="I1028" s="46">
        <v>21</v>
      </c>
      <c r="J1028" s="46">
        <v>93</v>
      </c>
      <c r="K1028" s="46">
        <v>21</v>
      </c>
      <c r="L1028" s="47">
        <f t="shared" si="0"/>
        <v>100</v>
      </c>
      <c r="M1028" s="71">
        <v>10</v>
      </c>
      <c r="N1028" s="48">
        <f t="shared" si="1"/>
        <v>47.61904761904762</v>
      </c>
      <c r="O1028" s="71">
        <v>10</v>
      </c>
      <c r="P1028" s="48">
        <f t="shared" si="2"/>
        <v>100</v>
      </c>
      <c r="Q1028" s="49" t="s">
        <v>63</v>
      </c>
      <c r="R1028" s="49" t="str">
        <f t="shared" si="3"/>
        <v>X</v>
      </c>
      <c r="S1028" s="50"/>
      <c r="T1028" s="50" t="str">
        <f>IF('PL1(Full)'!$N1028&gt;=20,"x",IF(AND('PL1(Full)'!$N1028&gt;=15,'PL1(Full)'!$P1028&gt;60),"x",""))</f>
        <v>x</v>
      </c>
      <c r="U1028" s="50" t="str">
        <f>IF(AND('PL1(Full)'!$H1028="Thôn",'PL1(Full)'!$I1028&lt;75),"x",IF(AND('PL1(Full)'!$H1028="Tổ",'PL1(Full)'!$I1028&lt;100),"x","-"))</f>
        <v>x</v>
      </c>
      <c r="V1028" s="34" t="str">
        <f>IF(AND('PL1(Full)'!$H1028="Thôn",'PL1(Full)'!$I1028&lt;140),"x",IF(AND('PL1(Full)'!$H1028="Tổ",'PL1(Full)'!$I1028&lt;210),"x","-"))</f>
        <v>x</v>
      </c>
      <c r="W1028" s="51" t="str">
        <f t="shared" si="175"/>
        <v>Loại 3</v>
      </c>
      <c r="X1028" s="50"/>
    </row>
    <row r="1029" spans="1:24" ht="15.75" customHeight="1">
      <c r="A1029" s="52">
        <f>_xlfn.AGGREGATE(4,7,A$6:A1028)+1</f>
        <v>775</v>
      </c>
      <c r="B1029" s="14" t="str">
        <f t="shared" si="173"/>
        <v>H. Ngân Sơn</v>
      </c>
      <c r="C1029" s="14" t="s">
        <v>1097</v>
      </c>
      <c r="D1029" s="25" t="s">
        <v>58</v>
      </c>
      <c r="E1029" s="25" t="s">
        <v>58</v>
      </c>
      <c r="F1029" s="14" t="s">
        <v>1098</v>
      </c>
      <c r="G1029" s="25"/>
      <c r="H1029" s="25" t="str">
        <f>IF(LEFT('PL1(Full)'!$F1029,4)="Thôn","Thôn","Tổ")</f>
        <v>Thôn</v>
      </c>
      <c r="I1029" s="20">
        <v>25</v>
      </c>
      <c r="J1029" s="20">
        <v>87</v>
      </c>
      <c r="K1029" s="20">
        <v>25</v>
      </c>
      <c r="L1029" s="21">
        <f t="shared" si="0"/>
        <v>100</v>
      </c>
      <c r="M1029" s="20">
        <v>4</v>
      </c>
      <c r="N1029" s="22">
        <f t="shared" si="1"/>
        <v>16</v>
      </c>
      <c r="O1029" s="20">
        <v>4</v>
      </c>
      <c r="P1029" s="22">
        <f t="shared" si="2"/>
        <v>100</v>
      </c>
      <c r="Q1029" s="23" t="s">
        <v>52</v>
      </c>
      <c r="R1029" s="24" t="str">
        <f t="shared" si="3"/>
        <v>C</v>
      </c>
      <c r="S1029" s="25"/>
      <c r="T1029" s="26" t="str">
        <f>IF('PL1(Full)'!$N1029&gt;=20,"x",IF(AND('PL1(Full)'!$N1029&gt;=15,'PL1(Full)'!$P1029&gt;60),"x",""))</f>
        <v>x</v>
      </c>
      <c r="U1029" s="27" t="str">
        <f>IF(AND('PL1(Full)'!$H1029="Thôn",'PL1(Full)'!$I1029&lt;75),"x",IF(AND('PL1(Full)'!$H1029="Tổ",'PL1(Full)'!$I1029&lt;100),"x","-"))</f>
        <v>x</v>
      </c>
      <c r="V1029" s="28" t="str">
        <f>IF(AND('PL1(Full)'!$H1029="Thôn",'PL1(Full)'!$I1029&lt;140),"x",IF(AND('PL1(Full)'!$H1029="Tổ",'PL1(Full)'!$I1029&lt;210),"x","-"))</f>
        <v>x</v>
      </c>
      <c r="W1029" s="29" t="str">
        <f t="shared" si="175"/>
        <v>Loại 3</v>
      </c>
      <c r="X1029" s="25"/>
    </row>
    <row r="1030" spans="1:24" ht="15.75" customHeight="1">
      <c r="A1030" s="30">
        <f>_xlfn.AGGREGATE(4,7,A$6:A1029)+1</f>
        <v>776</v>
      </c>
      <c r="B1030" s="31" t="str">
        <f t="shared" si="173"/>
        <v>H. Ngân Sơn</v>
      </c>
      <c r="C1030" s="31" t="str">
        <f t="shared" ref="C1030:C1045" si="181">C1029</f>
        <v>X. Thượng Ân</v>
      </c>
      <c r="D1030" s="34"/>
      <c r="E1030" s="34" t="s">
        <v>58</v>
      </c>
      <c r="F1030" s="31" t="s">
        <v>1099</v>
      </c>
      <c r="G1030" s="34"/>
      <c r="H1030" s="34" t="str">
        <f>IF(LEFT('PL1(Full)'!$F1030,4)="Thôn","Thôn","Tổ")</f>
        <v>Thôn</v>
      </c>
      <c r="I1030" s="36">
        <v>38</v>
      </c>
      <c r="J1030" s="36">
        <v>155</v>
      </c>
      <c r="K1030" s="36">
        <v>38</v>
      </c>
      <c r="L1030" s="37">
        <f t="shared" si="0"/>
        <v>100</v>
      </c>
      <c r="M1030" s="36">
        <v>5</v>
      </c>
      <c r="N1030" s="38">
        <f t="shared" si="1"/>
        <v>13.157894736842104</v>
      </c>
      <c r="O1030" s="36">
        <v>5</v>
      </c>
      <c r="P1030" s="38">
        <f t="shared" si="2"/>
        <v>100</v>
      </c>
      <c r="Q1030" s="39" t="s">
        <v>52</v>
      </c>
      <c r="R1030" s="39" t="str">
        <f t="shared" si="3"/>
        <v>C</v>
      </c>
      <c r="S1030" s="34"/>
      <c r="T1030" s="34" t="str">
        <f>IF('PL1(Full)'!$N1030&gt;=20,"x",IF(AND('PL1(Full)'!$N1030&gt;=15,'PL1(Full)'!$P1030&gt;60),"x",""))</f>
        <v/>
      </c>
      <c r="U1030" s="34" t="str">
        <f>IF(AND('PL1(Full)'!$H1030="Thôn",'PL1(Full)'!$I1030&lt;75),"x",IF(AND('PL1(Full)'!$H1030="Tổ",'PL1(Full)'!$I1030&lt;100),"x","-"))</f>
        <v>x</v>
      </c>
      <c r="V1030" s="34" t="str">
        <f>IF(AND('PL1(Full)'!$H1030="Thôn",'PL1(Full)'!$I1030&lt;140),"x",IF(AND('PL1(Full)'!$H1030="Tổ",'PL1(Full)'!$I1030&lt;210),"x","-"))</f>
        <v>x</v>
      </c>
      <c r="W1030" s="40" t="str">
        <f t="shared" si="175"/>
        <v>Loại 3</v>
      </c>
      <c r="X1030" s="34"/>
    </row>
    <row r="1031" spans="1:24" ht="15.75" customHeight="1">
      <c r="A1031" s="30">
        <f>_xlfn.AGGREGATE(4,7,A$6:A1030)+1</f>
        <v>777</v>
      </c>
      <c r="B1031" s="31" t="str">
        <f t="shared" si="173"/>
        <v>H. Ngân Sơn</v>
      </c>
      <c r="C1031" s="31" t="str">
        <f t="shared" si="181"/>
        <v>X. Thượng Ân</v>
      </c>
      <c r="D1031" s="34"/>
      <c r="E1031" s="34" t="s">
        <v>58</v>
      </c>
      <c r="F1031" s="31" t="s">
        <v>189</v>
      </c>
      <c r="G1031" s="34"/>
      <c r="H1031" s="34" t="str">
        <f>IF(LEFT('PL1(Full)'!$F1031,4)="Thôn","Thôn","Tổ")</f>
        <v>Thôn</v>
      </c>
      <c r="I1031" s="36">
        <v>27</v>
      </c>
      <c r="J1031" s="36">
        <v>129</v>
      </c>
      <c r="K1031" s="36">
        <v>27</v>
      </c>
      <c r="L1031" s="37">
        <f t="shared" si="0"/>
        <v>100</v>
      </c>
      <c r="M1031" s="36">
        <v>16</v>
      </c>
      <c r="N1031" s="38">
        <f t="shared" si="1"/>
        <v>59.25925925925926</v>
      </c>
      <c r="O1031" s="36">
        <v>16</v>
      </c>
      <c r="P1031" s="38">
        <f t="shared" si="2"/>
        <v>100</v>
      </c>
      <c r="Q1031" s="39" t="s">
        <v>52</v>
      </c>
      <c r="R1031" s="39" t="str">
        <f t="shared" si="3"/>
        <v>C</v>
      </c>
      <c r="S1031" s="34" t="s">
        <v>60</v>
      </c>
      <c r="T1031" s="34" t="str">
        <f>IF('PL1(Full)'!$N1031&gt;=20,"x",IF(AND('PL1(Full)'!$N1031&gt;=15,'PL1(Full)'!$P1031&gt;60),"x",""))</f>
        <v>x</v>
      </c>
      <c r="U1031" s="34" t="str">
        <f>IF(AND('PL1(Full)'!$H1031="Thôn",'PL1(Full)'!$I1031&lt;75),"x",IF(AND('PL1(Full)'!$H1031="Tổ",'PL1(Full)'!$I1031&lt;100),"x","-"))</f>
        <v>x</v>
      </c>
      <c r="V1031" s="34" t="str">
        <f>IF(AND('PL1(Full)'!$H1031="Thôn",'PL1(Full)'!$I1031&lt;140),"x",IF(AND('PL1(Full)'!$H1031="Tổ",'PL1(Full)'!$I1031&lt;210),"x","-"))</f>
        <v>x</v>
      </c>
      <c r="W1031" s="40" t="str">
        <f t="shared" si="175"/>
        <v>Loại 3</v>
      </c>
      <c r="X1031" s="34"/>
    </row>
    <row r="1032" spans="1:24" ht="15.75" customHeight="1">
      <c r="A1032" s="30">
        <f>_xlfn.AGGREGATE(4,7,A$6:A1031)+1</f>
        <v>778</v>
      </c>
      <c r="B1032" s="31" t="str">
        <f t="shared" si="173"/>
        <v>H. Ngân Sơn</v>
      </c>
      <c r="C1032" s="31" t="str">
        <f t="shared" si="181"/>
        <v>X. Thượng Ân</v>
      </c>
      <c r="D1032" s="34"/>
      <c r="E1032" s="34" t="s">
        <v>58</v>
      </c>
      <c r="F1032" s="31" t="s">
        <v>1100</v>
      </c>
      <c r="G1032" s="34"/>
      <c r="H1032" s="34" t="str">
        <f>IF(LEFT('PL1(Full)'!$F1032,4)="Thôn","Thôn","Tổ")</f>
        <v>Thôn</v>
      </c>
      <c r="I1032" s="36">
        <v>30</v>
      </c>
      <c r="J1032" s="36">
        <v>148</v>
      </c>
      <c r="K1032" s="36">
        <v>30</v>
      </c>
      <c r="L1032" s="37">
        <f t="shared" si="0"/>
        <v>100</v>
      </c>
      <c r="M1032" s="36">
        <v>3</v>
      </c>
      <c r="N1032" s="38">
        <f t="shared" si="1"/>
        <v>10</v>
      </c>
      <c r="O1032" s="36">
        <v>3</v>
      </c>
      <c r="P1032" s="38">
        <f t="shared" si="2"/>
        <v>100</v>
      </c>
      <c r="Q1032" s="39" t="s">
        <v>56</v>
      </c>
      <c r="R1032" s="39" t="str">
        <f t="shared" si="3"/>
        <v>X</v>
      </c>
      <c r="S1032" s="34"/>
      <c r="T1032" s="34" t="str">
        <f>IF('PL1(Full)'!$N1032&gt;=20,"x",IF(AND('PL1(Full)'!$N1032&gt;=15,'PL1(Full)'!$P1032&gt;60),"x",""))</f>
        <v/>
      </c>
      <c r="U1032" s="34" t="str">
        <f>IF(AND('PL1(Full)'!$H1032="Thôn",'PL1(Full)'!$I1032&lt;75),"x",IF(AND('PL1(Full)'!$H1032="Tổ",'PL1(Full)'!$I1032&lt;100),"x","-"))</f>
        <v>x</v>
      </c>
      <c r="V1032" s="34" t="str">
        <f>IF(AND('PL1(Full)'!$H1032="Thôn",'PL1(Full)'!$I1032&lt;140),"x",IF(AND('PL1(Full)'!$H1032="Tổ",'PL1(Full)'!$I1032&lt;210),"x","-"))</f>
        <v>x</v>
      </c>
      <c r="W1032" s="40" t="str">
        <f t="shared" si="175"/>
        <v>Loại 3</v>
      </c>
      <c r="X1032" s="34"/>
    </row>
    <row r="1033" spans="1:24" ht="15.75" customHeight="1">
      <c r="A1033" s="30">
        <f>_xlfn.AGGREGATE(4,7,A$6:A1032)+1</f>
        <v>779</v>
      </c>
      <c r="B1033" s="31" t="str">
        <f t="shared" si="173"/>
        <v>H. Ngân Sơn</v>
      </c>
      <c r="C1033" s="31" t="str">
        <f t="shared" si="181"/>
        <v>X. Thượng Ân</v>
      </c>
      <c r="D1033" s="34"/>
      <c r="E1033" s="34" t="s">
        <v>58</v>
      </c>
      <c r="F1033" s="31" t="s">
        <v>1101</v>
      </c>
      <c r="G1033" s="34"/>
      <c r="H1033" s="34" t="str">
        <f>IF(LEFT('PL1(Full)'!$F1033,4)="Thôn","Thôn","Tổ")</f>
        <v>Thôn</v>
      </c>
      <c r="I1033" s="36">
        <v>50</v>
      </c>
      <c r="J1033" s="36">
        <v>245</v>
      </c>
      <c r="K1033" s="36">
        <v>50</v>
      </c>
      <c r="L1033" s="37">
        <f t="shared" si="0"/>
        <v>100</v>
      </c>
      <c r="M1033" s="36">
        <v>50</v>
      </c>
      <c r="N1033" s="38">
        <f t="shared" si="1"/>
        <v>100</v>
      </c>
      <c r="O1033" s="36">
        <v>50</v>
      </c>
      <c r="P1033" s="38">
        <f t="shared" si="2"/>
        <v>100</v>
      </c>
      <c r="Q1033" s="39" t="s">
        <v>52</v>
      </c>
      <c r="R1033" s="39" t="str">
        <f t="shared" si="3"/>
        <v>C</v>
      </c>
      <c r="S1033" s="34" t="s">
        <v>60</v>
      </c>
      <c r="T1033" s="34" t="str">
        <f>IF('PL1(Full)'!$N1033&gt;=20,"x",IF(AND('PL1(Full)'!$N1033&gt;=15,'PL1(Full)'!$P1033&gt;60),"x",""))</f>
        <v>x</v>
      </c>
      <c r="U1033" s="34" t="str">
        <f>IF(AND('PL1(Full)'!$H1033="Thôn",'PL1(Full)'!$I1033&lt;75),"x",IF(AND('PL1(Full)'!$H1033="Tổ",'PL1(Full)'!$I1033&lt;100),"x","-"))</f>
        <v>x</v>
      </c>
      <c r="V1033" s="34" t="str">
        <f>IF(AND('PL1(Full)'!$H1033="Thôn",'PL1(Full)'!$I1033&lt;140),"x",IF(AND('PL1(Full)'!$H1033="Tổ",'PL1(Full)'!$I1033&lt;210),"x","-"))</f>
        <v>x</v>
      </c>
      <c r="W1033" s="40" t="str">
        <f t="shared" si="175"/>
        <v>Loại 3</v>
      </c>
      <c r="X1033" s="34"/>
    </row>
    <row r="1034" spans="1:24" ht="15.75" customHeight="1">
      <c r="A1034" s="30">
        <f>_xlfn.AGGREGATE(4,7,A$6:A1033)+1</f>
        <v>780</v>
      </c>
      <c r="B1034" s="31" t="str">
        <f t="shared" si="173"/>
        <v>H. Ngân Sơn</v>
      </c>
      <c r="C1034" s="31" t="str">
        <f t="shared" si="181"/>
        <v>X. Thượng Ân</v>
      </c>
      <c r="D1034" s="34"/>
      <c r="E1034" s="34" t="s">
        <v>58</v>
      </c>
      <c r="F1034" s="31" t="s">
        <v>1102</v>
      </c>
      <c r="G1034" s="34"/>
      <c r="H1034" s="34" t="str">
        <f>IF(LEFT('PL1(Full)'!$F1034,4)="Thôn","Thôn","Tổ")</f>
        <v>Thôn</v>
      </c>
      <c r="I1034" s="36">
        <v>23</v>
      </c>
      <c r="J1034" s="36">
        <v>106</v>
      </c>
      <c r="K1034" s="36">
        <v>22</v>
      </c>
      <c r="L1034" s="37">
        <f t="shared" si="0"/>
        <v>95.652173913043484</v>
      </c>
      <c r="M1034" s="36">
        <v>22</v>
      </c>
      <c r="N1034" s="38">
        <f t="shared" si="1"/>
        <v>95.652173913043484</v>
      </c>
      <c r="O1034" s="36">
        <v>22</v>
      </c>
      <c r="P1034" s="38">
        <f t="shared" si="2"/>
        <v>100</v>
      </c>
      <c r="Q1034" s="39" t="s">
        <v>52</v>
      </c>
      <c r="R1034" s="39" t="str">
        <f t="shared" si="3"/>
        <v>C</v>
      </c>
      <c r="S1034" s="34" t="s">
        <v>60</v>
      </c>
      <c r="T1034" s="34" t="str">
        <f>IF('PL1(Full)'!$N1034&gt;=20,"x",IF(AND('PL1(Full)'!$N1034&gt;=15,'PL1(Full)'!$P1034&gt;60),"x",""))</f>
        <v>x</v>
      </c>
      <c r="U1034" s="34" t="str">
        <f>IF(AND('PL1(Full)'!$H1034="Thôn",'PL1(Full)'!$I1034&lt;75),"x",IF(AND('PL1(Full)'!$H1034="Tổ",'PL1(Full)'!$I1034&lt;100),"x","-"))</f>
        <v>x</v>
      </c>
      <c r="V1034" s="34" t="str">
        <f>IF(AND('PL1(Full)'!$H1034="Thôn",'PL1(Full)'!$I1034&lt;140),"x",IF(AND('PL1(Full)'!$H1034="Tổ",'PL1(Full)'!$I1034&lt;210),"x","-"))</f>
        <v>x</v>
      </c>
      <c r="W1034" s="40" t="str">
        <f t="shared" si="175"/>
        <v>Loại 3</v>
      </c>
      <c r="X1034" s="34"/>
    </row>
    <row r="1035" spans="1:24" ht="15.75" customHeight="1">
      <c r="A1035" s="30">
        <f>_xlfn.AGGREGATE(4,7,A$6:A1034)+1</f>
        <v>781</v>
      </c>
      <c r="B1035" s="31" t="str">
        <f t="shared" si="173"/>
        <v>H. Ngân Sơn</v>
      </c>
      <c r="C1035" s="31" t="str">
        <f t="shared" si="181"/>
        <v>X. Thượng Ân</v>
      </c>
      <c r="D1035" s="34"/>
      <c r="E1035" s="34" t="s">
        <v>58</v>
      </c>
      <c r="F1035" s="31" t="s">
        <v>1103</v>
      </c>
      <c r="G1035" s="34"/>
      <c r="H1035" s="34" t="str">
        <f>IF(LEFT('PL1(Full)'!$F1035,4)="Thôn","Thôn","Tổ")</f>
        <v>Thôn</v>
      </c>
      <c r="I1035" s="36">
        <v>10</v>
      </c>
      <c r="J1035" s="36">
        <v>36</v>
      </c>
      <c r="K1035" s="36">
        <v>9</v>
      </c>
      <c r="L1035" s="37">
        <f t="shared" si="0"/>
        <v>90</v>
      </c>
      <c r="M1035" s="36">
        <v>8</v>
      </c>
      <c r="N1035" s="38">
        <f t="shared" si="1"/>
        <v>80</v>
      </c>
      <c r="O1035" s="36">
        <v>8</v>
      </c>
      <c r="P1035" s="38">
        <f t="shared" si="2"/>
        <v>100</v>
      </c>
      <c r="Q1035" s="39" t="s">
        <v>52</v>
      </c>
      <c r="R1035" s="39" t="str">
        <f t="shared" si="3"/>
        <v>C</v>
      </c>
      <c r="S1035" s="34" t="s">
        <v>60</v>
      </c>
      <c r="T1035" s="34" t="str">
        <f>IF('PL1(Full)'!$N1035&gt;=20,"x",IF(AND('PL1(Full)'!$N1035&gt;=15,'PL1(Full)'!$P1035&gt;60),"x",""))</f>
        <v>x</v>
      </c>
      <c r="U1035" s="34" t="str">
        <f>IF(AND('PL1(Full)'!$H1035="Thôn",'PL1(Full)'!$I1035&lt;75),"x",IF(AND('PL1(Full)'!$H1035="Tổ",'PL1(Full)'!$I1035&lt;100),"x","-"))</f>
        <v>x</v>
      </c>
      <c r="V1035" s="147" t="str">
        <f>IF(AND('PL1(Full)'!$H1035="Thôn",'PL1(Full)'!$I1035&lt;140),"x",IF(AND('PL1(Full)'!$H1035="Tổ",'PL1(Full)'!$I1035&lt;210),"x","-"))</f>
        <v>x</v>
      </c>
      <c r="W1035" s="40" t="str">
        <f t="shared" si="175"/>
        <v>Loại 3</v>
      </c>
      <c r="X1035" s="34"/>
    </row>
    <row r="1036" spans="1:24" ht="15.75" customHeight="1">
      <c r="A1036" s="30">
        <f>_xlfn.AGGREGATE(4,7,A$6:A1035)+1</f>
        <v>782</v>
      </c>
      <c r="B1036" s="31" t="str">
        <f t="shared" si="173"/>
        <v>H. Ngân Sơn</v>
      </c>
      <c r="C1036" s="31" t="str">
        <f t="shared" si="181"/>
        <v>X. Thượng Ân</v>
      </c>
      <c r="D1036" s="34"/>
      <c r="E1036" s="34" t="s">
        <v>58</v>
      </c>
      <c r="F1036" s="31" t="s">
        <v>522</v>
      </c>
      <c r="G1036" s="34" t="s">
        <v>40</v>
      </c>
      <c r="H1036" s="34" t="str">
        <f>IF(LEFT('PL1(Full)'!$F1036,4)="Thôn","Thôn","Tổ")</f>
        <v>Thôn</v>
      </c>
      <c r="I1036" s="36">
        <v>33</v>
      </c>
      <c r="J1036" s="36">
        <v>169</v>
      </c>
      <c r="K1036" s="36">
        <v>33</v>
      </c>
      <c r="L1036" s="37">
        <f t="shared" si="0"/>
        <v>100</v>
      </c>
      <c r="M1036" s="36">
        <v>5</v>
      </c>
      <c r="N1036" s="38">
        <f t="shared" si="1"/>
        <v>15.151515151515152</v>
      </c>
      <c r="O1036" s="36">
        <v>5</v>
      </c>
      <c r="P1036" s="38">
        <f t="shared" si="2"/>
        <v>100</v>
      </c>
      <c r="Q1036" s="39" t="s">
        <v>63</v>
      </c>
      <c r="R1036" s="39" t="str">
        <f t="shared" si="3"/>
        <v>X</v>
      </c>
      <c r="S1036" s="34"/>
      <c r="T1036" s="34" t="str">
        <f>IF('PL1(Full)'!$N1036&gt;=20,"x",IF(AND('PL1(Full)'!$N1036&gt;=15,'PL1(Full)'!$P1036&gt;60),"x",""))</f>
        <v>x</v>
      </c>
      <c r="U1036" s="34" t="str">
        <f>IF(AND('PL1(Full)'!$H1036="Thôn",'PL1(Full)'!$I1036&lt;75),"x",IF(AND('PL1(Full)'!$H1036="Tổ",'PL1(Full)'!$I1036&lt;100),"x","-"))</f>
        <v>x</v>
      </c>
      <c r="V1036" s="28" t="str">
        <f>IF(AND('PL1(Full)'!$H1036="Thôn",'PL1(Full)'!$I1036&lt;140),"x",IF(AND('PL1(Full)'!$H1036="Tổ",'PL1(Full)'!$I1036&lt;210),"x","-"))</f>
        <v>x</v>
      </c>
      <c r="W1036" s="40" t="str">
        <f t="shared" si="175"/>
        <v>Loại 3</v>
      </c>
      <c r="X1036" s="34"/>
    </row>
    <row r="1037" spans="1:24" ht="15.75" customHeight="1">
      <c r="A1037" s="30">
        <f>_xlfn.AGGREGATE(4,7,A$6:A1036)+1</f>
        <v>783</v>
      </c>
      <c r="B1037" s="31" t="str">
        <f t="shared" si="173"/>
        <v>H. Ngân Sơn</v>
      </c>
      <c r="C1037" s="31" t="str">
        <f t="shared" si="181"/>
        <v>X. Thượng Ân</v>
      </c>
      <c r="D1037" s="34"/>
      <c r="E1037" s="34" t="s">
        <v>58</v>
      </c>
      <c r="F1037" s="31" t="s">
        <v>119</v>
      </c>
      <c r="G1037" s="34"/>
      <c r="H1037" s="34" t="str">
        <f>IF(LEFT('PL1(Full)'!$F1037,4)="Thôn","Thôn","Tổ")</f>
        <v>Thôn</v>
      </c>
      <c r="I1037" s="36">
        <v>12</v>
      </c>
      <c r="J1037" s="36">
        <v>45</v>
      </c>
      <c r="K1037" s="36">
        <v>12</v>
      </c>
      <c r="L1037" s="37">
        <f t="shared" si="0"/>
        <v>100</v>
      </c>
      <c r="M1037" s="36">
        <v>10</v>
      </c>
      <c r="N1037" s="38">
        <f t="shared" si="1"/>
        <v>83.333333333333329</v>
      </c>
      <c r="O1037" s="36">
        <v>10</v>
      </c>
      <c r="P1037" s="38">
        <f t="shared" si="2"/>
        <v>100</v>
      </c>
      <c r="Q1037" s="39" t="s">
        <v>154</v>
      </c>
      <c r="R1037" s="39" t="str">
        <f t="shared" si="3"/>
        <v>X</v>
      </c>
      <c r="S1037" s="34" t="s">
        <v>60</v>
      </c>
      <c r="T1037" s="34" t="str">
        <f>IF('PL1(Full)'!$N1037&gt;=20,"x",IF(AND('PL1(Full)'!$N1037&gt;=15,'PL1(Full)'!$P1037&gt;60),"x",""))</f>
        <v>x</v>
      </c>
      <c r="U1037" s="34" t="str">
        <f>IF(AND('PL1(Full)'!$H1037="Thôn",'PL1(Full)'!$I1037&lt;75),"x",IF(AND('PL1(Full)'!$H1037="Tổ",'PL1(Full)'!$I1037&lt;100),"x","-"))</f>
        <v>x</v>
      </c>
      <c r="V1037" s="34" t="str">
        <f>IF(AND('PL1(Full)'!$H1037="Thôn",'PL1(Full)'!$I1037&lt;140),"x",IF(AND('PL1(Full)'!$H1037="Tổ",'PL1(Full)'!$I1037&lt;210),"x","-"))</f>
        <v>x</v>
      </c>
      <c r="W1037" s="40" t="str">
        <f t="shared" si="175"/>
        <v>Loại 3</v>
      </c>
      <c r="X1037" s="34"/>
    </row>
    <row r="1038" spans="1:24" ht="15.75" customHeight="1">
      <c r="A1038" s="30">
        <f>_xlfn.AGGREGATE(4,7,A$6:A1037)+1</f>
        <v>784</v>
      </c>
      <c r="B1038" s="31" t="str">
        <f t="shared" si="173"/>
        <v>H. Ngân Sơn</v>
      </c>
      <c r="C1038" s="31" t="str">
        <f t="shared" si="181"/>
        <v>X. Thượng Ân</v>
      </c>
      <c r="D1038" s="34"/>
      <c r="E1038" s="34" t="s">
        <v>58</v>
      </c>
      <c r="F1038" s="31" t="s">
        <v>360</v>
      </c>
      <c r="G1038" s="34"/>
      <c r="H1038" s="34" t="str">
        <f>IF(LEFT('PL1(Full)'!$F1038,4)="Thôn","Thôn","Tổ")</f>
        <v>Thôn</v>
      </c>
      <c r="I1038" s="36">
        <v>30</v>
      </c>
      <c r="J1038" s="36">
        <v>148</v>
      </c>
      <c r="K1038" s="36">
        <v>30</v>
      </c>
      <c r="L1038" s="37">
        <f t="shared" si="0"/>
        <v>100</v>
      </c>
      <c r="M1038" s="36">
        <v>2</v>
      </c>
      <c r="N1038" s="38">
        <f t="shared" si="1"/>
        <v>6.666666666666667</v>
      </c>
      <c r="O1038" s="36">
        <v>2</v>
      </c>
      <c r="P1038" s="38">
        <f t="shared" si="2"/>
        <v>100</v>
      </c>
      <c r="Q1038" s="39" t="s">
        <v>338</v>
      </c>
      <c r="R1038" s="39" t="str">
        <f t="shared" si="3"/>
        <v>X</v>
      </c>
      <c r="S1038" s="34"/>
      <c r="T1038" s="34" t="str">
        <f>IF('PL1(Full)'!$N1038&gt;=20,"x",IF(AND('PL1(Full)'!$N1038&gt;=15,'PL1(Full)'!$P1038&gt;60),"x",""))</f>
        <v/>
      </c>
      <c r="U1038" s="34" t="str">
        <f>IF(AND('PL1(Full)'!$H1038="Thôn",'PL1(Full)'!$I1038&lt;75),"x",IF(AND('PL1(Full)'!$H1038="Tổ",'PL1(Full)'!$I1038&lt;100),"x","-"))</f>
        <v>x</v>
      </c>
      <c r="V1038" s="34" t="str">
        <f>IF(AND('PL1(Full)'!$H1038="Thôn",'PL1(Full)'!$I1038&lt;140),"x",IF(AND('PL1(Full)'!$H1038="Tổ",'PL1(Full)'!$I1038&lt;210),"x","-"))</f>
        <v>x</v>
      </c>
      <c r="W1038" s="40" t="str">
        <f t="shared" si="175"/>
        <v>Loại 3</v>
      </c>
      <c r="X1038" s="34"/>
    </row>
    <row r="1039" spans="1:24" ht="15.75" customHeight="1">
      <c r="A1039" s="30">
        <f>_xlfn.AGGREGATE(4,7,A$6:A1038)+1</f>
        <v>785</v>
      </c>
      <c r="B1039" s="31" t="str">
        <f t="shared" si="173"/>
        <v>H. Ngân Sơn</v>
      </c>
      <c r="C1039" s="31" t="str">
        <f t="shared" si="181"/>
        <v>X. Thượng Ân</v>
      </c>
      <c r="D1039" s="34"/>
      <c r="E1039" s="34" t="s">
        <v>58</v>
      </c>
      <c r="F1039" s="31" t="s">
        <v>257</v>
      </c>
      <c r="G1039" s="34"/>
      <c r="H1039" s="34" t="str">
        <f>IF(LEFT('PL1(Full)'!$F1039,4)="Thôn","Thôn","Tổ")</f>
        <v>Thôn</v>
      </c>
      <c r="I1039" s="36">
        <v>22</v>
      </c>
      <c r="J1039" s="36">
        <v>106</v>
      </c>
      <c r="K1039" s="36">
        <v>22</v>
      </c>
      <c r="L1039" s="37">
        <f t="shared" si="0"/>
        <v>100</v>
      </c>
      <c r="M1039" s="36">
        <v>15</v>
      </c>
      <c r="N1039" s="38">
        <f t="shared" si="1"/>
        <v>68.181818181818187</v>
      </c>
      <c r="O1039" s="36">
        <v>15</v>
      </c>
      <c r="P1039" s="38">
        <f t="shared" si="2"/>
        <v>100</v>
      </c>
      <c r="Q1039" s="39" t="s">
        <v>154</v>
      </c>
      <c r="R1039" s="39" t="str">
        <f t="shared" si="3"/>
        <v>X</v>
      </c>
      <c r="S1039" s="34" t="s">
        <v>60</v>
      </c>
      <c r="T1039" s="34" t="str">
        <f>IF('PL1(Full)'!$N1039&gt;=20,"x",IF(AND('PL1(Full)'!$N1039&gt;=15,'PL1(Full)'!$P1039&gt;60),"x",""))</f>
        <v>x</v>
      </c>
      <c r="U1039" s="34" t="str">
        <f>IF(AND('PL1(Full)'!$H1039="Thôn",'PL1(Full)'!$I1039&lt;75),"x",IF(AND('PL1(Full)'!$H1039="Tổ",'PL1(Full)'!$I1039&lt;100),"x","-"))</f>
        <v>x</v>
      </c>
      <c r="V1039" s="34" t="str">
        <f>IF(AND('PL1(Full)'!$H1039="Thôn",'PL1(Full)'!$I1039&lt;140),"x",IF(AND('PL1(Full)'!$H1039="Tổ",'PL1(Full)'!$I1039&lt;210),"x","-"))</f>
        <v>x</v>
      </c>
      <c r="W1039" s="40" t="str">
        <f t="shared" si="175"/>
        <v>Loại 3</v>
      </c>
      <c r="X1039" s="34"/>
    </row>
    <row r="1040" spans="1:24" ht="15.75" customHeight="1">
      <c r="A1040" s="30">
        <f>_xlfn.AGGREGATE(4,7,A$6:A1039)+1</f>
        <v>786</v>
      </c>
      <c r="B1040" s="31" t="str">
        <f t="shared" si="173"/>
        <v>H. Ngân Sơn</v>
      </c>
      <c r="C1040" s="31" t="str">
        <f t="shared" si="181"/>
        <v>X. Thượng Ân</v>
      </c>
      <c r="D1040" s="34"/>
      <c r="E1040" s="34" t="s">
        <v>58</v>
      </c>
      <c r="F1040" s="31" t="s">
        <v>1104</v>
      </c>
      <c r="G1040" s="34"/>
      <c r="H1040" s="34" t="str">
        <f>IF(LEFT('PL1(Full)'!$F1040,4)="Thôn","Thôn","Tổ")</f>
        <v>Thôn</v>
      </c>
      <c r="I1040" s="36">
        <v>48</v>
      </c>
      <c r="J1040" s="36">
        <v>204</v>
      </c>
      <c r="K1040" s="36">
        <v>47</v>
      </c>
      <c r="L1040" s="37">
        <f t="shared" si="0"/>
        <v>97.916666666666671</v>
      </c>
      <c r="M1040" s="36">
        <v>6</v>
      </c>
      <c r="N1040" s="38">
        <f t="shared" si="1"/>
        <v>12.5</v>
      </c>
      <c r="O1040" s="36">
        <v>5</v>
      </c>
      <c r="P1040" s="38">
        <f t="shared" si="2"/>
        <v>83.333333333333329</v>
      </c>
      <c r="Q1040" s="39" t="s">
        <v>63</v>
      </c>
      <c r="R1040" s="39" t="str">
        <f t="shared" si="3"/>
        <v>X</v>
      </c>
      <c r="S1040" s="34"/>
      <c r="T1040" s="34" t="str">
        <f>IF('PL1(Full)'!$N1040&gt;=20,"x",IF(AND('PL1(Full)'!$N1040&gt;=15,'PL1(Full)'!$P1040&gt;60),"x",""))</f>
        <v/>
      </c>
      <c r="U1040" s="34" t="str">
        <f>IF(AND('PL1(Full)'!$H1040="Thôn",'PL1(Full)'!$I1040&lt;75),"x",IF(AND('PL1(Full)'!$H1040="Tổ",'PL1(Full)'!$I1040&lt;100),"x","-"))</f>
        <v>x</v>
      </c>
      <c r="V1040" s="34" t="str">
        <f>IF(AND('PL1(Full)'!$H1040="Thôn",'PL1(Full)'!$I1040&lt;140),"x",IF(AND('PL1(Full)'!$H1040="Tổ",'PL1(Full)'!$I1040&lt;210),"x","-"))</f>
        <v>x</v>
      </c>
      <c r="W1040" s="40" t="str">
        <f t="shared" si="175"/>
        <v>Loại 3</v>
      </c>
      <c r="X1040" s="34"/>
    </row>
    <row r="1041" spans="1:24" ht="15.75" customHeight="1">
      <c r="A1041" s="30">
        <f>_xlfn.AGGREGATE(4,7,A$6:A1040)+1</f>
        <v>787</v>
      </c>
      <c r="B1041" s="31" t="str">
        <f t="shared" si="173"/>
        <v>H. Ngân Sơn</v>
      </c>
      <c r="C1041" s="31" t="str">
        <f t="shared" si="181"/>
        <v>X. Thượng Ân</v>
      </c>
      <c r="D1041" s="34"/>
      <c r="E1041" s="34" t="s">
        <v>58</v>
      </c>
      <c r="F1041" s="31" t="s">
        <v>1105</v>
      </c>
      <c r="G1041" s="34"/>
      <c r="H1041" s="34" t="str">
        <f>IF(LEFT('PL1(Full)'!$F1041,4)="Thôn","Thôn","Tổ")</f>
        <v>Thôn</v>
      </c>
      <c r="I1041" s="36">
        <v>38</v>
      </c>
      <c r="J1041" s="36">
        <v>171</v>
      </c>
      <c r="K1041" s="36">
        <v>38</v>
      </c>
      <c r="L1041" s="37">
        <f t="shared" si="0"/>
        <v>100</v>
      </c>
      <c r="M1041" s="36">
        <v>38</v>
      </c>
      <c r="N1041" s="38">
        <f t="shared" si="1"/>
        <v>100</v>
      </c>
      <c r="O1041" s="36">
        <v>38</v>
      </c>
      <c r="P1041" s="38">
        <f t="shared" si="2"/>
        <v>100</v>
      </c>
      <c r="Q1041" s="39" t="s">
        <v>63</v>
      </c>
      <c r="R1041" s="39" t="str">
        <f t="shared" si="3"/>
        <v>X</v>
      </c>
      <c r="S1041" s="34" t="s">
        <v>60</v>
      </c>
      <c r="T1041" s="34" t="str">
        <f>IF('PL1(Full)'!$N1041&gt;=20,"x",IF(AND('PL1(Full)'!$N1041&gt;=15,'PL1(Full)'!$P1041&gt;60),"x",""))</f>
        <v>x</v>
      </c>
      <c r="U1041" s="34" t="str">
        <f>IF(AND('PL1(Full)'!$H1041="Thôn",'PL1(Full)'!$I1041&lt;75),"x",IF(AND('PL1(Full)'!$H1041="Tổ",'PL1(Full)'!$I1041&lt;100),"x","-"))</f>
        <v>x</v>
      </c>
      <c r="V1041" s="34" t="str">
        <f>IF(AND('PL1(Full)'!$H1041="Thôn",'PL1(Full)'!$I1041&lt;140),"x",IF(AND('PL1(Full)'!$H1041="Tổ",'PL1(Full)'!$I1041&lt;210),"x","-"))</f>
        <v>x</v>
      </c>
      <c r="W1041" s="40" t="str">
        <f t="shared" si="175"/>
        <v>Loại 3</v>
      </c>
      <c r="X1041" s="34"/>
    </row>
    <row r="1042" spans="1:24" ht="15.75" customHeight="1">
      <c r="A1042" s="30">
        <f>_xlfn.AGGREGATE(4,7,A$6:A1041)+1</f>
        <v>788</v>
      </c>
      <c r="B1042" s="31" t="str">
        <f t="shared" si="173"/>
        <v>H. Ngân Sơn</v>
      </c>
      <c r="C1042" s="31" t="str">
        <f t="shared" si="181"/>
        <v>X. Thượng Ân</v>
      </c>
      <c r="D1042" s="34"/>
      <c r="E1042" s="34" t="s">
        <v>58</v>
      </c>
      <c r="F1042" s="31" t="s">
        <v>1106</v>
      </c>
      <c r="G1042" s="34"/>
      <c r="H1042" s="34" t="str">
        <f>IF(LEFT('PL1(Full)'!$F1042,4)="Thôn","Thôn","Tổ")</f>
        <v>Thôn</v>
      </c>
      <c r="I1042" s="36">
        <v>24</v>
      </c>
      <c r="J1042" s="36">
        <v>112</v>
      </c>
      <c r="K1042" s="36">
        <v>24</v>
      </c>
      <c r="L1042" s="37">
        <f t="shared" si="0"/>
        <v>100</v>
      </c>
      <c r="M1042" s="36">
        <v>19</v>
      </c>
      <c r="N1042" s="38">
        <f t="shared" si="1"/>
        <v>79.166666666666671</v>
      </c>
      <c r="O1042" s="36">
        <v>19</v>
      </c>
      <c r="P1042" s="38">
        <f t="shared" si="2"/>
        <v>100</v>
      </c>
      <c r="Q1042" s="39" t="s">
        <v>154</v>
      </c>
      <c r="R1042" s="39" t="str">
        <f t="shared" si="3"/>
        <v>X</v>
      </c>
      <c r="S1042" s="34" t="s">
        <v>60</v>
      </c>
      <c r="T1042" s="34" t="str">
        <f>IF('PL1(Full)'!$N1042&gt;=20,"x",IF(AND('PL1(Full)'!$N1042&gt;=15,'PL1(Full)'!$P1042&gt;60),"x",""))</f>
        <v>x</v>
      </c>
      <c r="U1042" s="34" t="str">
        <f>IF(AND('PL1(Full)'!$H1042="Thôn",'PL1(Full)'!$I1042&lt;75),"x",IF(AND('PL1(Full)'!$H1042="Tổ",'PL1(Full)'!$I1042&lt;100),"x","-"))</f>
        <v>x</v>
      </c>
      <c r="V1042" s="34" t="str">
        <f>IF(AND('PL1(Full)'!$H1042="Thôn",'PL1(Full)'!$I1042&lt;140),"x",IF(AND('PL1(Full)'!$H1042="Tổ",'PL1(Full)'!$I1042&lt;210),"x","-"))</f>
        <v>x</v>
      </c>
      <c r="W1042" s="40" t="str">
        <f t="shared" si="175"/>
        <v>Loại 3</v>
      </c>
      <c r="X1042" s="34"/>
    </row>
    <row r="1043" spans="1:24" ht="15.75" customHeight="1">
      <c r="A1043" s="30">
        <f>_xlfn.AGGREGATE(4,7,A$6:A1042)+1</f>
        <v>789</v>
      </c>
      <c r="B1043" s="31" t="str">
        <f t="shared" si="173"/>
        <v>H. Ngân Sơn</v>
      </c>
      <c r="C1043" s="31" t="str">
        <f t="shared" si="181"/>
        <v>X. Thượng Ân</v>
      </c>
      <c r="D1043" s="34"/>
      <c r="E1043" s="34" t="s">
        <v>58</v>
      </c>
      <c r="F1043" s="31" t="s">
        <v>1107</v>
      </c>
      <c r="G1043" s="34"/>
      <c r="H1043" s="34" t="str">
        <f>IF(LEFT('PL1(Full)'!$F1043,4)="Thôn","Thôn","Tổ")</f>
        <v>Thôn</v>
      </c>
      <c r="I1043" s="36">
        <v>24</v>
      </c>
      <c r="J1043" s="36">
        <v>96</v>
      </c>
      <c r="K1043" s="36">
        <v>24</v>
      </c>
      <c r="L1043" s="37">
        <f t="shared" si="0"/>
        <v>100</v>
      </c>
      <c r="M1043" s="36">
        <v>19</v>
      </c>
      <c r="N1043" s="38">
        <f t="shared" si="1"/>
        <v>79.166666666666671</v>
      </c>
      <c r="O1043" s="36">
        <v>19</v>
      </c>
      <c r="P1043" s="38">
        <f t="shared" si="2"/>
        <v>100</v>
      </c>
      <c r="Q1043" s="39" t="s">
        <v>52</v>
      </c>
      <c r="R1043" s="39" t="str">
        <f t="shared" si="3"/>
        <v>C</v>
      </c>
      <c r="S1043" s="34" t="s">
        <v>60</v>
      </c>
      <c r="T1043" s="34" t="str">
        <f>IF('PL1(Full)'!$N1043&gt;=20,"x",IF(AND('PL1(Full)'!$N1043&gt;=15,'PL1(Full)'!$P1043&gt;60),"x",""))</f>
        <v>x</v>
      </c>
      <c r="U1043" s="34" t="str">
        <f>IF(AND('PL1(Full)'!$H1043="Thôn",'PL1(Full)'!$I1043&lt;75),"x",IF(AND('PL1(Full)'!$H1043="Tổ",'PL1(Full)'!$I1043&lt;100),"x","-"))</f>
        <v>x</v>
      </c>
      <c r="V1043" s="34" t="str">
        <f>IF(AND('PL1(Full)'!$H1043="Thôn",'PL1(Full)'!$I1043&lt;140),"x",IF(AND('PL1(Full)'!$H1043="Tổ",'PL1(Full)'!$I1043&lt;210),"x","-"))</f>
        <v>x</v>
      </c>
      <c r="W1043" s="40" t="str">
        <f t="shared" si="175"/>
        <v>Loại 3</v>
      </c>
      <c r="X1043" s="34"/>
    </row>
    <row r="1044" spans="1:24" ht="15.75" customHeight="1">
      <c r="A1044" s="30">
        <f>_xlfn.AGGREGATE(4,7,A$6:A1043)+1</f>
        <v>790</v>
      </c>
      <c r="B1044" s="31" t="str">
        <f t="shared" si="173"/>
        <v>H. Ngân Sơn</v>
      </c>
      <c r="C1044" s="31" t="str">
        <f t="shared" si="181"/>
        <v>X. Thượng Ân</v>
      </c>
      <c r="D1044" s="34"/>
      <c r="E1044" s="34" t="s">
        <v>58</v>
      </c>
      <c r="F1044" s="31" t="s">
        <v>1108</v>
      </c>
      <c r="G1044" s="34"/>
      <c r="H1044" s="34" t="str">
        <f>IF(LEFT('PL1(Full)'!$F1044,4)="Thôn","Thôn","Tổ")</f>
        <v>Thôn</v>
      </c>
      <c r="I1044" s="36">
        <v>26</v>
      </c>
      <c r="J1044" s="36">
        <v>111</v>
      </c>
      <c r="K1044" s="36">
        <v>26</v>
      </c>
      <c r="L1044" s="37">
        <f t="shared" si="0"/>
        <v>100</v>
      </c>
      <c r="M1044" s="36">
        <v>25</v>
      </c>
      <c r="N1044" s="38">
        <f t="shared" si="1"/>
        <v>96.15384615384616</v>
      </c>
      <c r="O1044" s="36">
        <v>25</v>
      </c>
      <c r="P1044" s="38">
        <f t="shared" si="2"/>
        <v>100</v>
      </c>
      <c r="Q1044" s="39" t="s">
        <v>154</v>
      </c>
      <c r="R1044" s="39" t="str">
        <f t="shared" si="3"/>
        <v>X</v>
      </c>
      <c r="S1044" s="34" t="s">
        <v>60</v>
      </c>
      <c r="T1044" s="34" t="str">
        <f>IF('PL1(Full)'!$N1044&gt;=20,"x",IF(AND('PL1(Full)'!$N1044&gt;=15,'PL1(Full)'!$P1044&gt;60),"x",""))</f>
        <v>x</v>
      </c>
      <c r="U1044" s="34" t="str">
        <f>IF(AND('PL1(Full)'!$H1044="Thôn",'PL1(Full)'!$I1044&lt;75),"x",IF(AND('PL1(Full)'!$H1044="Tổ",'PL1(Full)'!$I1044&lt;100),"x","-"))</f>
        <v>x</v>
      </c>
      <c r="V1044" s="34" t="str">
        <f>IF(AND('PL1(Full)'!$H1044="Thôn",'PL1(Full)'!$I1044&lt;140),"x",IF(AND('PL1(Full)'!$H1044="Tổ",'PL1(Full)'!$I1044&lt;210),"x","-"))</f>
        <v>x</v>
      </c>
      <c r="W1044" s="40" t="str">
        <f t="shared" si="175"/>
        <v>Loại 3</v>
      </c>
      <c r="X1044" s="34"/>
    </row>
    <row r="1045" spans="1:24" ht="15.75" customHeight="1">
      <c r="A1045" s="41">
        <f>_xlfn.AGGREGATE(4,7,A$6:A1044)+1</f>
        <v>791</v>
      </c>
      <c r="B1045" s="42" t="str">
        <f t="shared" si="173"/>
        <v>H. Ngân Sơn</v>
      </c>
      <c r="C1045" s="42" t="str">
        <f t="shared" si="181"/>
        <v>X. Thượng Ân</v>
      </c>
      <c r="D1045" s="50"/>
      <c r="E1045" s="50" t="s">
        <v>58</v>
      </c>
      <c r="F1045" s="42" t="s">
        <v>1109</v>
      </c>
      <c r="G1045" s="50"/>
      <c r="H1045" s="50" t="str">
        <f>IF(LEFT('PL1(Full)'!$F1045,4)="Thôn","Thôn","Tổ")</f>
        <v>Thôn</v>
      </c>
      <c r="I1045" s="46">
        <v>15</v>
      </c>
      <c r="J1045" s="46">
        <v>67</v>
      </c>
      <c r="K1045" s="46">
        <v>15</v>
      </c>
      <c r="L1045" s="47">
        <f t="shared" si="0"/>
        <v>100</v>
      </c>
      <c r="M1045" s="46">
        <v>9</v>
      </c>
      <c r="N1045" s="48">
        <f t="shared" si="1"/>
        <v>60</v>
      </c>
      <c r="O1045" s="46">
        <v>9</v>
      </c>
      <c r="P1045" s="48">
        <f t="shared" si="2"/>
        <v>100</v>
      </c>
      <c r="Q1045" s="49" t="s">
        <v>52</v>
      </c>
      <c r="R1045" s="49" t="str">
        <f t="shared" si="3"/>
        <v>C</v>
      </c>
      <c r="S1045" s="50" t="s">
        <v>60</v>
      </c>
      <c r="T1045" s="50" t="str">
        <f>IF('PL1(Full)'!$N1045&gt;=20,"x",IF(AND('PL1(Full)'!$N1045&gt;=15,'PL1(Full)'!$P1045&gt;60),"x",""))</f>
        <v>x</v>
      </c>
      <c r="U1045" s="50" t="str">
        <f>IF(AND('PL1(Full)'!$H1045="Thôn",'PL1(Full)'!$I1045&lt;75),"x",IF(AND('PL1(Full)'!$H1045="Tổ",'PL1(Full)'!$I1045&lt;100),"x","-"))</f>
        <v>x</v>
      </c>
      <c r="V1045" s="34" t="str">
        <f>IF(AND('PL1(Full)'!$H1045="Thôn",'PL1(Full)'!$I1045&lt;140),"x",IF(AND('PL1(Full)'!$H1045="Tổ",'PL1(Full)'!$I1045&lt;210),"x","-"))</f>
        <v>x</v>
      </c>
      <c r="W1045" s="51" t="str">
        <f t="shared" si="175"/>
        <v>Loại 3</v>
      </c>
      <c r="X1045" s="50"/>
    </row>
    <row r="1046" spans="1:24" ht="15.75" customHeight="1">
      <c r="A1046" s="52">
        <f>_xlfn.AGGREGATE(4,7,A$6:A1045)+1</f>
        <v>792</v>
      </c>
      <c r="B1046" s="14" t="str">
        <f t="shared" si="173"/>
        <v>H. Ngân Sơn</v>
      </c>
      <c r="C1046" s="14" t="s">
        <v>1110</v>
      </c>
      <c r="D1046" s="25" t="s">
        <v>58</v>
      </c>
      <c r="E1046" s="25" t="s">
        <v>58</v>
      </c>
      <c r="F1046" s="14" t="s">
        <v>1111</v>
      </c>
      <c r="G1046" s="25"/>
      <c r="H1046" s="25" t="str">
        <f>IF(LEFT('PL1(Full)'!$F1046,4)="Thôn","Thôn","Tổ")</f>
        <v>Thôn</v>
      </c>
      <c r="I1046" s="20">
        <v>31</v>
      </c>
      <c r="J1046" s="20">
        <v>132</v>
      </c>
      <c r="K1046" s="20">
        <v>31</v>
      </c>
      <c r="L1046" s="21">
        <f t="shared" si="0"/>
        <v>100</v>
      </c>
      <c r="M1046" s="20">
        <v>26</v>
      </c>
      <c r="N1046" s="22">
        <f t="shared" si="1"/>
        <v>83.870967741935488</v>
      </c>
      <c r="O1046" s="20">
        <v>26</v>
      </c>
      <c r="P1046" s="22">
        <f t="shared" si="2"/>
        <v>100</v>
      </c>
      <c r="Q1046" s="23" t="s">
        <v>154</v>
      </c>
      <c r="R1046" s="24" t="str">
        <f t="shared" si="3"/>
        <v>X</v>
      </c>
      <c r="S1046" s="25" t="s">
        <v>60</v>
      </c>
      <c r="T1046" s="26" t="str">
        <f>IF('PL1(Full)'!$N1046&gt;=20,"x",IF(AND('PL1(Full)'!$N1046&gt;=15,'PL1(Full)'!$P1046&gt;60),"x",""))</f>
        <v>x</v>
      </c>
      <c r="U1046" s="27" t="str">
        <f>IF(AND('PL1(Full)'!$H1046="Thôn",'PL1(Full)'!$I1046&lt;75),"x",IF(AND('PL1(Full)'!$H1046="Tổ",'PL1(Full)'!$I1046&lt;100),"x","-"))</f>
        <v>x</v>
      </c>
      <c r="V1046" s="28" t="str">
        <f>IF(AND('PL1(Full)'!$H1046="Thôn",'PL1(Full)'!$I1046&lt;140),"x",IF(AND('PL1(Full)'!$H1046="Tổ",'PL1(Full)'!$I1046&lt;210),"x","-"))</f>
        <v>x</v>
      </c>
      <c r="W1046" s="29" t="str">
        <f t="shared" si="175"/>
        <v>Loại 3</v>
      </c>
      <c r="X1046" s="25"/>
    </row>
    <row r="1047" spans="1:24" ht="15.75" customHeight="1">
      <c r="A1047" s="30">
        <f>_xlfn.AGGREGATE(4,7,A$6:A1046)+1</f>
        <v>793</v>
      </c>
      <c r="B1047" s="31" t="str">
        <f t="shared" si="173"/>
        <v>H. Ngân Sơn</v>
      </c>
      <c r="C1047" s="31" t="str">
        <f t="shared" ref="C1047:C1060" si="182">C1046</f>
        <v>X. Thượng Quan</v>
      </c>
      <c r="D1047" s="34"/>
      <c r="E1047" s="34" t="s">
        <v>58</v>
      </c>
      <c r="F1047" s="31" t="s">
        <v>130</v>
      </c>
      <c r="G1047" s="34"/>
      <c r="H1047" s="34" t="str">
        <f>IF(LEFT('PL1(Full)'!$F1047,4)="Thôn","Thôn","Tổ")</f>
        <v>Thôn</v>
      </c>
      <c r="I1047" s="36">
        <v>31</v>
      </c>
      <c r="J1047" s="36">
        <v>148</v>
      </c>
      <c r="K1047" s="36">
        <v>31</v>
      </c>
      <c r="L1047" s="37">
        <f t="shared" si="0"/>
        <v>100</v>
      </c>
      <c r="M1047" s="36">
        <v>24</v>
      </c>
      <c r="N1047" s="38">
        <f t="shared" si="1"/>
        <v>77.41935483870968</v>
      </c>
      <c r="O1047" s="36">
        <v>24</v>
      </c>
      <c r="P1047" s="38">
        <f t="shared" si="2"/>
        <v>100</v>
      </c>
      <c r="Q1047" s="39" t="s">
        <v>56</v>
      </c>
      <c r="R1047" s="39" t="str">
        <f t="shared" si="3"/>
        <v>X</v>
      </c>
      <c r="S1047" s="34" t="s">
        <v>60</v>
      </c>
      <c r="T1047" s="34" t="str">
        <f>IF('PL1(Full)'!$N1047&gt;=20,"x",IF(AND('PL1(Full)'!$N1047&gt;=15,'PL1(Full)'!$P1047&gt;60),"x",""))</f>
        <v>x</v>
      </c>
      <c r="U1047" s="34" t="str">
        <f>IF(AND('PL1(Full)'!$H1047="Thôn",'PL1(Full)'!$I1047&lt;75),"x",IF(AND('PL1(Full)'!$H1047="Tổ",'PL1(Full)'!$I1047&lt;100),"x","-"))</f>
        <v>x</v>
      </c>
      <c r="V1047" s="34" t="str">
        <f>IF(AND('PL1(Full)'!$H1047="Thôn",'PL1(Full)'!$I1047&lt;140),"x",IF(AND('PL1(Full)'!$H1047="Tổ",'PL1(Full)'!$I1047&lt;210),"x","-"))</f>
        <v>x</v>
      </c>
      <c r="W1047" s="40" t="str">
        <f t="shared" si="175"/>
        <v>Loại 3</v>
      </c>
      <c r="X1047" s="34"/>
    </row>
    <row r="1048" spans="1:24" ht="15.75" customHeight="1">
      <c r="A1048" s="30">
        <f>_xlfn.AGGREGATE(4,7,A$6:A1047)+1</f>
        <v>794</v>
      </c>
      <c r="B1048" s="31" t="str">
        <f t="shared" si="173"/>
        <v>H. Ngân Sơn</v>
      </c>
      <c r="C1048" s="31" t="str">
        <f t="shared" si="182"/>
        <v>X. Thượng Quan</v>
      </c>
      <c r="D1048" s="34"/>
      <c r="E1048" s="34" t="s">
        <v>58</v>
      </c>
      <c r="F1048" s="31" t="s">
        <v>1112</v>
      </c>
      <c r="G1048" s="34"/>
      <c r="H1048" s="34" t="str">
        <f>IF(LEFT('PL1(Full)'!$F1048,4)="Thôn","Thôn","Tổ")</f>
        <v>Thôn</v>
      </c>
      <c r="I1048" s="36">
        <v>53</v>
      </c>
      <c r="J1048" s="36">
        <v>185</v>
      </c>
      <c r="K1048" s="36">
        <v>53</v>
      </c>
      <c r="L1048" s="37">
        <f t="shared" si="0"/>
        <v>100</v>
      </c>
      <c r="M1048" s="36">
        <v>35</v>
      </c>
      <c r="N1048" s="38">
        <f t="shared" si="1"/>
        <v>66.037735849056602</v>
      </c>
      <c r="O1048" s="36">
        <v>35</v>
      </c>
      <c r="P1048" s="38">
        <f t="shared" si="2"/>
        <v>100</v>
      </c>
      <c r="Q1048" s="39" t="s">
        <v>56</v>
      </c>
      <c r="R1048" s="39" t="str">
        <f t="shared" si="3"/>
        <v>X</v>
      </c>
      <c r="S1048" s="34"/>
      <c r="T1048" s="34" t="str">
        <f>IF('PL1(Full)'!$N1048&gt;=20,"x",IF(AND('PL1(Full)'!$N1048&gt;=15,'PL1(Full)'!$P1048&gt;60),"x",""))</f>
        <v>x</v>
      </c>
      <c r="U1048" s="34" t="str">
        <f>IF(AND('PL1(Full)'!$H1048="Thôn",'PL1(Full)'!$I1048&lt;75),"x",IF(AND('PL1(Full)'!$H1048="Tổ",'PL1(Full)'!$I1048&lt;100),"x","-"))</f>
        <v>x</v>
      </c>
      <c r="V1048" s="34" t="str">
        <f>IF(AND('PL1(Full)'!$H1048="Thôn",'PL1(Full)'!$I1048&lt;140),"x",IF(AND('PL1(Full)'!$H1048="Tổ",'PL1(Full)'!$I1048&lt;210),"x","-"))</f>
        <v>x</v>
      </c>
      <c r="W1048" s="40" t="str">
        <f t="shared" si="175"/>
        <v>Loại 3</v>
      </c>
      <c r="X1048" s="34"/>
    </row>
    <row r="1049" spans="1:24" ht="15.75" customHeight="1">
      <c r="A1049" s="30">
        <f>_xlfn.AGGREGATE(4,7,A$6:A1048)+1</f>
        <v>795</v>
      </c>
      <c r="B1049" s="31" t="str">
        <f t="shared" si="173"/>
        <v>H. Ngân Sơn</v>
      </c>
      <c r="C1049" s="31" t="str">
        <f t="shared" si="182"/>
        <v>X. Thượng Quan</v>
      </c>
      <c r="D1049" s="34"/>
      <c r="E1049" s="34" t="s">
        <v>58</v>
      </c>
      <c r="F1049" s="31" t="s">
        <v>1113</v>
      </c>
      <c r="G1049" s="34" t="s">
        <v>40</v>
      </c>
      <c r="H1049" s="34" t="str">
        <f>IF(LEFT('PL1(Full)'!$F1049,4)="Thôn","Thôn","Tổ")</f>
        <v>Thôn</v>
      </c>
      <c r="I1049" s="36">
        <v>15</v>
      </c>
      <c r="J1049" s="36">
        <v>70</v>
      </c>
      <c r="K1049" s="36">
        <v>15</v>
      </c>
      <c r="L1049" s="37">
        <f t="shared" si="0"/>
        <v>100</v>
      </c>
      <c r="M1049" s="36">
        <v>9</v>
      </c>
      <c r="N1049" s="38">
        <f t="shared" si="1"/>
        <v>60</v>
      </c>
      <c r="O1049" s="36">
        <v>9</v>
      </c>
      <c r="P1049" s="38">
        <f t="shared" si="2"/>
        <v>100</v>
      </c>
      <c r="Q1049" s="39" t="s">
        <v>52</v>
      </c>
      <c r="R1049" s="39" t="str">
        <f t="shared" si="3"/>
        <v>C</v>
      </c>
      <c r="S1049" s="34" t="s">
        <v>60</v>
      </c>
      <c r="T1049" s="34" t="str">
        <f>IF('PL1(Full)'!$N1049&gt;=20,"x",IF(AND('PL1(Full)'!$N1049&gt;=15,'PL1(Full)'!$P1049&gt;60),"x",""))</f>
        <v>x</v>
      </c>
      <c r="U1049" s="34" t="str">
        <f>IF(AND('PL1(Full)'!$H1049="Thôn",'PL1(Full)'!$I1049&lt;75),"x",IF(AND('PL1(Full)'!$H1049="Tổ",'PL1(Full)'!$I1049&lt;100),"x","-"))</f>
        <v>x</v>
      </c>
      <c r="V1049" s="34" t="str">
        <f>IF(AND('PL1(Full)'!$H1049="Thôn",'PL1(Full)'!$I1049&lt;140),"x",IF(AND('PL1(Full)'!$H1049="Tổ",'PL1(Full)'!$I1049&lt;210),"x","-"))</f>
        <v>x</v>
      </c>
      <c r="W1049" s="40" t="str">
        <f t="shared" si="175"/>
        <v>Loại 3</v>
      </c>
      <c r="X1049" s="34"/>
    </row>
    <row r="1050" spans="1:24" ht="15.75" customHeight="1">
      <c r="A1050" s="30">
        <f>_xlfn.AGGREGATE(4,7,A$6:A1049)+1</f>
        <v>796</v>
      </c>
      <c r="B1050" s="31" t="str">
        <f t="shared" si="173"/>
        <v>H. Ngân Sơn</v>
      </c>
      <c r="C1050" s="31" t="str">
        <f t="shared" si="182"/>
        <v>X. Thượng Quan</v>
      </c>
      <c r="D1050" s="34"/>
      <c r="E1050" s="34" t="s">
        <v>58</v>
      </c>
      <c r="F1050" s="31" t="s">
        <v>1114</v>
      </c>
      <c r="G1050" s="34"/>
      <c r="H1050" s="34" t="str">
        <f>IF(LEFT('PL1(Full)'!$F1050,4)="Thôn","Thôn","Tổ")</f>
        <v>Thôn</v>
      </c>
      <c r="I1050" s="36">
        <v>63</v>
      </c>
      <c r="J1050" s="36">
        <v>283</v>
      </c>
      <c r="K1050" s="36">
        <v>63</v>
      </c>
      <c r="L1050" s="37">
        <f t="shared" si="0"/>
        <v>100</v>
      </c>
      <c r="M1050" s="36">
        <v>51</v>
      </c>
      <c r="N1050" s="38">
        <f t="shared" si="1"/>
        <v>80.952380952380949</v>
      </c>
      <c r="O1050" s="36">
        <v>51</v>
      </c>
      <c r="P1050" s="38">
        <f t="shared" si="2"/>
        <v>100</v>
      </c>
      <c r="Q1050" s="39" t="s">
        <v>56</v>
      </c>
      <c r="R1050" s="39" t="str">
        <f t="shared" si="3"/>
        <v>X</v>
      </c>
      <c r="S1050" s="34" t="s">
        <v>60</v>
      </c>
      <c r="T1050" s="34" t="str">
        <f>IF('PL1(Full)'!$N1050&gt;=20,"x",IF(AND('PL1(Full)'!$N1050&gt;=15,'PL1(Full)'!$P1050&gt;60),"x",""))</f>
        <v>x</v>
      </c>
      <c r="U1050" s="34" t="str">
        <f>IF(AND('PL1(Full)'!$H1050="Thôn",'PL1(Full)'!$I1050&lt;75),"x",IF(AND('PL1(Full)'!$H1050="Tổ",'PL1(Full)'!$I1050&lt;100),"x","-"))</f>
        <v>x</v>
      </c>
      <c r="V1050" s="34" t="str">
        <f>IF(AND('PL1(Full)'!$H1050="Thôn",'PL1(Full)'!$I1050&lt;140),"x",IF(AND('PL1(Full)'!$H1050="Tổ",'PL1(Full)'!$I1050&lt;210),"x","-"))</f>
        <v>x</v>
      </c>
      <c r="W1050" s="40" t="str">
        <f t="shared" si="175"/>
        <v>Loại 3</v>
      </c>
      <c r="X1050" s="34"/>
    </row>
    <row r="1051" spans="1:24" ht="15.75" customHeight="1">
      <c r="A1051" s="30">
        <f>_xlfn.AGGREGATE(4,7,A$6:A1050)+1</f>
        <v>797</v>
      </c>
      <c r="B1051" s="31" t="str">
        <f t="shared" si="173"/>
        <v>H. Ngân Sơn</v>
      </c>
      <c r="C1051" s="31" t="str">
        <f t="shared" si="182"/>
        <v>X. Thượng Quan</v>
      </c>
      <c r="D1051" s="34"/>
      <c r="E1051" s="34" t="s">
        <v>58</v>
      </c>
      <c r="F1051" s="31" t="s">
        <v>1115</v>
      </c>
      <c r="G1051" s="34"/>
      <c r="H1051" s="34" t="str">
        <f>IF(LEFT('PL1(Full)'!$F1051,4)="Thôn","Thôn","Tổ")</f>
        <v>Thôn</v>
      </c>
      <c r="I1051" s="36">
        <v>62</v>
      </c>
      <c r="J1051" s="36">
        <v>267</v>
      </c>
      <c r="K1051" s="36">
        <v>62</v>
      </c>
      <c r="L1051" s="37">
        <f t="shared" si="0"/>
        <v>100</v>
      </c>
      <c r="M1051" s="36">
        <v>28</v>
      </c>
      <c r="N1051" s="38">
        <f t="shared" si="1"/>
        <v>45.161290322580648</v>
      </c>
      <c r="O1051" s="36">
        <v>28</v>
      </c>
      <c r="P1051" s="38">
        <f t="shared" si="2"/>
        <v>100</v>
      </c>
      <c r="Q1051" s="39" t="s">
        <v>56</v>
      </c>
      <c r="R1051" s="39" t="str">
        <f t="shared" si="3"/>
        <v>X</v>
      </c>
      <c r="S1051" s="34" t="s">
        <v>60</v>
      </c>
      <c r="T1051" s="34" t="str">
        <f>IF('PL1(Full)'!$N1051&gt;=20,"x",IF(AND('PL1(Full)'!$N1051&gt;=15,'PL1(Full)'!$P1051&gt;60),"x",""))</f>
        <v>x</v>
      </c>
      <c r="U1051" s="34" t="str">
        <f>IF(AND('PL1(Full)'!$H1051="Thôn",'PL1(Full)'!$I1051&lt;75),"x",IF(AND('PL1(Full)'!$H1051="Tổ",'PL1(Full)'!$I1051&lt;100),"x","-"))</f>
        <v>x</v>
      </c>
      <c r="V1051" s="34" t="str">
        <f>IF(AND('PL1(Full)'!$H1051="Thôn",'PL1(Full)'!$I1051&lt;140),"x",IF(AND('PL1(Full)'!$H1051="Tổ",'PL1(Full)'!$I1051&lt;210),"x","-"))</f>
        <v>x</v>
      </c>
      <c r="W1051" s="40" t="str">
        <f t="shared" si="175"/>
        <v>Loại 3</v>
      </c>
      <c r="X1051" s="34"/>
    </row>
    <row r="1052" spans="1:24" ht="15.75" hidden="1" customHeight="1">
      <c r="A1052" s="30">
        <f>_xlfn.AGGREGATE(4,7,A$6:A1051)+1</f>
        <v>798</v>
      </c>
      <c r="B1052" s="31" t="str">
        <f t="shared" si="173"/>
        <v>H. Ngân Sơn</v>
      </c>
      <c r="C1052" s="31" t="str">
        <f t="shared" si="182"/>
        <v>X. Thượng Quan</v>
      </c>
      <c r="D1052" s="34"/>
      <c r="E1052" s="34" t="s">
        <v>58</v>
      </c>
      <c r="F1052" s="31" t="s">
        <v>572</v>
      </c>
      <c r="G1052" s="34" t="s">
        <v>40</v>
      </c>
      <c r="H1052" s="34" t="str">
        <f>IF(LEFT('PL1(Full)'!$F1052,4)="Thôn","Thôn","Tổ")</f>
        <v>Thôn</v>
      </c>
      <c r="I1052" s="36">
        <v>92</v>
      </c>
      <c r="J1052" s="36">
        <v>436</v>
      </c>
      <c r="K1052" s="36">
        <v>92</v>
      </c>
      <c r="L1052" s="37">
        <f t="shared" si="0"/>
        <v>100</v>
      </c>
      <c r="M1052" s="36">
        <v>8</v>
      </c>
      <c r="N1052" s="38">
        <f t="shared" si="1"/>
        <v>8.695652173913043</v>
      </c>
      <c r="O1052" s="36">
        <v>8</v>
      </c>
      <c r="P1052" s="38">
        <f t="shared" si="2"/>
        <v>100</v>
      </c>
      <c r="Q1052" s="39" t="s">
        <v>56</v>
      </c>
      <c r="R1052" s="39" t="str">
        <f t="shared" si="3"/>
        <v>X</v>
      </c>
      <c r="S1052" s="34"/>
      <c r="T1052" s="34" t="str">
        <f>IF('PL1(Full)'!$N1052&gt;=20,"x",IF(AND('PL1(Full)'!$N1052&gt;=15,'PL1(Full)'!$P1052&gt;60),"x",""))</f>
        <v/>
      </c>
      <c r="U1052" s="34" t="str">
        <f>IF(AND('PL1(Full)'!$H1052="Thôn",'PL1(Full)'!$I1052&lt;75),"x",IF(AND('PL1(Full)'!$H1052="Tổ",'PL1(Full)'!$I1052&lt;100),"x","-"))</f>
        <v>-</v>
      </c>
      <c r="V1052" s="34" t="str">
        <f>IF(AND('PL1(Full)'!$H1052="Thôn",'PL1(Full)'!$I1052&lt;140),"x",IF(AND('PL1(Full)'!$H1052="Tổ",'PL1(Full)'!$I1052&lt;210),"x","-"))</f>
        <v>x</v>
      </c>
      <c r="W1052" s="40" t="str">
        <f t="shared" si="175"/>
        <v>Loại 3</v>
      </c>
      <c r="X1052" s="34"/>
    </row>
    <row r="1053" spans="1:24" ht="15.75" customHeight="1">
      <c r="A1053" s="30">
        <f>_xlfn.AGGREGATE(4,7,A$6:A1052)+1</f>
        <v>798</v>
      </c>
      <c r="B1053" s="31" t="str">
        <f t="shared" si="173"/>
        <v>H. Ngân Sơn</v>
      </c>
      <c r="C1053" s="31" t="str">
        <f t="shared" si="182"/>
        <v>X. Thượng Quan</v>
      </c>
      <c r="D1053" s="34"/>
      <c r="E1053" s="34" t="s">
        <v>58</v>
      </c>
      <c r="F1053" s="31" t="s">
        <v>352</v>
      </c>
      <c r="G1053" s="34" t="s">
        <v>40</v>
      </c>
      <c r="H1053" s="34" t="str">
        <f>IF(LEFT('PL1(Full)'!$F1053,4)="Thôn","Thôn","Tổ")</f>
        <v>Thôn</v>
      </c>
      <c r="I1053" s="36">
        <v>50</v>
      </c>
      <c r="J1053" s="36">
        <v>224</v>
      </c>
      <c r="K1053" s="36">
        <v>50</v>
      </c>
      <c r="L1053" s="37">
        <f t="shared" si="0"/>
        <v>100</v>
      </c>
      <c r="M1053" s="36">
        <v>42</v>
      </c>
      <c r="N1053" s="38">
        <f t="shared" si="1"/>
        <v>84</v>
      </c>
      <c r="O1053" s="36">
        <v>42</v>
      </c>
      <c r="P1053" s="38">
        <f t="shared" si="2"/>
        <v>100</v>
      </c>
      <c r="Q1053" s="39" t="s">
        <v>52</v>
      </c>
      <c r="R1053" s="39" t="str">
        <f t="shared" si="3"/>
        <v>C</v>
      </c>
      <c r="S1053" s="34" t="s">
        <v>60</v>
      </c>
      <c r="T1053" s="34" t="str">
        <f>IF('PL1(Full)'!$N1053&gt;=20,"x",IF(AND('PL1(Full)'!$N1053&gt;=15,'PL1(Full)'!$P1053&gt;60),"x",""))</f>
        <v>x</v>
      </c>
      <c r="U1053" s="34" t="str">
        <f>IF(AND('PL1(Full)'!$H1053="Thôn",'PL1(Full)'!$I1053&lt;75),"x",IF(AND('PL1(Full)'!$H1053="Tổ",'PL1(Full)'!$I1053&lt;100),"x","-"))</f>
        <v>x</v>
      </c>
      <c r="V1053" s="34" t="str">
        <f>IF(AND('PL1(Full)'!$H1053="Thôn",'PL1(Full)'!$I1053&lt;140),"x",IF(AND('PL1(Full)'!$H1053="Tổ",'PL1(Full)'!$I1053&lt;210),"x","-"))</f>
        <v>x</v>
      </c>
      <c r="W1053" s="40" t="str">
        <f t="shared" si="175"/>
        <v>Loại 3</v>
      </c>
      <c r="X1053" s="34"/>
    </row>
    <row r="1054" spans="1:24" ht="15.75" customHeight="1">
      <c r="A1054" s="30">
        <f>_xlfn.AGGREGATE(4,7,A$6:A1053)+1</f>
        <v>799</v>
      </c>
      <c r="B1054" s="31" t="str">
        <f t="shared" si="173"/>
        <v>H. Ngân Sơn</v>
      </c>
      <c r="C1054" s="31" t="str">
        <f t="shared" si="182"/>
        <v>X. Thượng Quan</v>
      </c>
      <c r="D1054" s="34"/>
      <c r="E1054" s="34" t="s">
        <v>58</v>
      </c>
      <c r="F1054" s="31" t="s">
        <v>1116</v>
      </c>
      <c r="G1054" s="34"/>
      <c r="H1054" s="34" t="str">
        <f>IF(LEFT('PL1(Full)'!$F1054,4)="Thôn","Thôn","Tổ")</f>
        <v>Thôn</v>
      </c>
      <c r="I1054" s="36">
        <v>36</v>
      </c>
      <c r="J1054" s="36">
        <v>177</v>
      </c>
      <c r="K1054" s="36">
        <v>36</v>
      </c>
      <c r="L1054" s="37">
        <f t="shared" si="0"/>
        <v>100</v>
      </c>
      <c r="M1054" s="36">
        <v>36</v>
      </c>
      <c r="N1054" s="38">
        <f t="shared" si="1"/>
        <v>100</v>
      </c>
      <c r="O1054" s="36">
        <v>36</v>
      </c>
      <c r="P1054" s="38">
        <f t="shared" si="2"/>
        <v>100</v>
      </c>
      <c r="Q1054" s="39" t="s">
        <v>56</v>
      </c>
      <c r="R1054" s="39" t="str">
        <f t="shared" si="3"/>
        <v>X</v>
      </c>
      <c r="S1054" s="34" t="s">
        <v>60</v>
      </c>
      <c r="T1054" s="34" t="str">
        <f>IF('PL1(Full)'!$N1054&gt;=20,"x",IF(AND('PL1(Full)'!$N1054&gt;=15,'PL1(Full)'!$P1054&gt;60),"x",""))</f>
        <v>x</v>
      </c>
      <c r="U1054" s="34" t="str">
        <f>IF(AND('PL1(Full)'!$H1054="Thôn",'PL1(Full)'!$I1054&lt;75),"x",IF(AND('PL1(Full)'!$H1054="Tổ",'PL1(Full)'!$I1054&lt;100),"x","-"))</f>
        <v>x</v>
      </c>
      <c r="V1054" s="34" t="str">
        <f>IF(AND('PL1(Full)'!$H1054="Thôn",'PL1(Full)'!$I1054&lt;140),"x",IF(AND('PL1(Full)'!$H1054="Tổ",'PL1(Full)'!$I1054&lt;210),"x","-"))</f>
        <v>x</v>
      </c>
      <c r="W1054" s="40" t="str">
        <f t="shared" si="175"/>
        <v>Loại 3</v>
      </c>
      <c r="X1054" s="34"/>
    </row>
    <row r="1055" spans="1:24" ht="15.75" customHeight="1">
      <c r="A1055" s="30">
        <f>_xlfn.AGGREGATE(4,7,A$6:A1054)+1</f>
        <v>800</v>
      </c>
      <c r="B1055" s="31" t="str">
        <f t="shared" si="173"/>
        <v>H. Ngân Sơn</v>
      </c>
      <c r="C1055" s="31" t="str">
        <f t="shared" si="182"/>
        <v>X. Thượng Quan</v>
      </c>
      <c r="D1055" s="34"/>
      <c r="E1055" s="34" t="s">
        <v>58</v>
      </c>
      <c r="F1055" s="31" t="s">
        <v>1117</v>
      </c>
      <c r="G1055" s="34" t="s">
        <v>40</v>
      </c>
      <c r="H1055" s="34" t="str">
        <f>IF(LEFT('PL1(Full)'!$F1055,4)="Thôn","Thôn","Tổ")</f>
        <v>Thôn</v>
      </c>
      <c r="I1055" s="36">
        <v>65</v>
      </c>
      <c r="J1055" s="36">
        <v>287</v>
      </c>
      <c r="K1055" s="36">
        <v>65</v>
      </c>
      <c r="L1055" s="37">
        <f t="shared" si="0"/>
        <v>100</v>
      </c>
      <c r="M1055" s="36">
        <v>14</v>
      </c>
      <c r="N1055" s="38">
        <f t="shared" si="1"/>
        <v>21.53846153846154</v>
      </c>
      <c r="O1055" s="36">
        <v>14</v>
      </c>
      <c r="P1055" s="38">
        <f t="shared" si="2"/>
        <v>100</v>
      </c>
      <c r="Q1055" s="39" t="s">
        <v>56</v>
      </c>
      <c r="R1055" s="39" t="str">
        <f t="shared" si="3"/>
        <v>X</v>
      </c>
      <c r="S1055" s="34"/>
      <c r="T1055" s="34" t="str">
        <f>IF('PL1(Full)'!$N1055&gt;=20,"x",IF(AND('PL1(Full)'!$N1055&gt;=15,'PL1(Full)'!$P1055&gt;60),"x",""))</f>
        <v>x</v>
      </c>
      <c r="U1055" s="34" t="str">
        <f>IF(AND('PL1(Full)'!$H1055="Thôn",'PL1(Full)'!$I1055&lt;75),"x",IF(AND('PL1(Full)'!$H1055="Tổ",'PL1(Full)'!$I1055&lt;100),"x","-"))</f>
        <v>x</v>
      </c>
      <c r="V1055" s="34" t="str">
        <f>IF(AND('PL1(Full)'!$H1055="Thôn",'PL1(Full)'!$I1055&lt;140),"x",IF(AND('PL1(Full)'!$H1055="Tổ",'PL1(Full)'!$I1055&lt;210),"x","-"))</f>
        <v>x</v>
      </c>
      <c r="W1055" s="40" t="str">
        <f t="shared" si="175"/>
        <v>Loại 3</v>
      </c>
      <c r="X1055" s="34"/>
    </row>
    <row r="1056" spans="1:24" ht="15.75" customHeight="1">
      <c r="A1056" s="30">
        <f>_xlfn.AGGREGATE(4,7,A$6:A1055)+1</f>
        <v>801</v>
      </c>
      <c r="B1056" s="31" t="str">
        <f t="shared" si="173"/>
        <v>H. Ngân Sơn</v>
      </c>
      <c r="C1056" s="31" t="str">
        <f t="shared" si="182"/>
        <v>X. Thượng Quan</v>
      </c>
      <c r="D1056" s="34"/>
      <c r="E1056" s="34" t="s">
        <v>58</v>
      </c>
      <c r="F1056" s="31" t="s">
        <v>1118</v>
      </c>
      <c r="G1056" s="34"/>
      <c r="H1056" s="34" t="str">
        <f>IF(LEFT('PL1(Full)'!$F1056,4)="Thôn","Thôn","Tổ")</f>
        <v>Thôn</v>
      </c>
      <c r="I1056" s="36">
        <v>35</v>
      </c>
      <c r="J1056" s="36">
        <v>149</v>
      </c>
      <c r="K1056" s="36">
        <v>35</v>
      </c>
      <c r="L1056" s="37">
        <f t="shared" si="0"/>
        <v>100</v>
      </c>
      <c r="M1056" s="36">
        <v>35</v>
      </c>
      <c r="N1056" s="38">
        <f t="shared" si="1"/>
        <v>100</v>
      </c>
      <c r="O1056" s="36">
        <v>35</v>
      </c>
      <c r="P1056" s="38">
        <f t="shared" si="2"/>
        <v>100</v>
      </c>
      <c r="Q1056" s="39" t="s">
        <v>52</v>
      </c>
      <c r="R1056" s="39" t="str">
        <f t="shared" si="3"/>
        <v>C</v>
      </c>
      <c r="S1056" s="34" t="s">
        <v>60</v>
      </c>
      <c r="T1056" s="34" t="str">
        <f>IF('PL1(Full)'!$N1056&gt;=20,"x",IF(AND('PL1(Full)'!$N1056&gt;=15,'PL1(Full)'!$P1056&gt;60),"x",""))</f>
        <v>x</v>
      </c>
      <c r="U1056" s="34" t="str">
        <f>IF(AND('PL1(Full)'!$H1056="Thôn",'PL1(Full)'!$I1056&lt;75),"x",IF(AND('PL1(Full)'!$H1056="Tổ",'PL1(Full)'!$I1056&lt;100),"x","-"))</f>
        <v>x</v>
      </c>
      <c r="V1056" s="34" t="str">
        <f>IF(AND('PL1(Full)'!$H1056="Thôn",'PL1(Full)'!$I1056&lt;140),"x",IF(AND('PL1(Full)'!$H1056="Tổ",'PL1(Full)'!$I1056&lt;210),"x","-"))</f>
        <v>x</v>
      </c>
      <c r="W1056" s="40" t="str">
        <f t="shared" si="175"/>
        <v>Loại 3</v>
      </c>
      <c r="X1056" s="34"/>
    </row>
    <row r="1057" spans="1:24" ht="15.75" customHeight="1">
      <c r="A1057" s="30">
        <f>_xlfn.AGGREGATE(4,7,A$6:A1056)+1</f>
        <v>802</v>
      </c>
      <c r="B1057" s="31" t="str">
        <f t="shared" si="173"/>
        <v>H. Ngân Sơn</v>
      </c>
      <c r="C1057" s="31" t="str">
        <f t="shared" si="182"/>
        <v>X. Thượng Quan</v>
      </c>
      <c r="D1057" s="34"/>
      <c r="E1057" s="34" t="s">
        <v>58</v>
      </c>
      <c r="F1057" s="31" t="s">
        <v>1119</v>
      </c>
      <c r="G1057" s="34"/>
      <c r="H1057" s="34" t="str">
        <f>IF(LEFT('PL1(Full)'!$F1057,4)="Thôn","Thôn","Tổ")</f>
        <v>Thôn</v>
      </c>
      <c r="I1057" s="36">
        <v>51</v>
      </c>
      <c r="J1057" s="36">
        <v>262</v>
      </c>
      <c r="K1057" s="36">
        <v>51</v>
      </c>
      <c r="L1057" s="37">
        <f t="shared" si="0"/>
        <v>100</v>
      </c>
      <c r="M1057" s="36">
        <v>51</v>
      </c>
      <c r="N1057" s="38">
        <f t="shared" si="1"/>
        <v>100</v>
      </c>
      <c r="O1057" s="36">
        <v>51</v>
      </c>
      <c r="P1057" s="38">
        <f t="shared" si="2"/>
        <v>100</v>
      </c>
      <c r="Q1057" s="39" t="s">
        <v>56</v>
      </c>
      <c r="R1057" s="39" t="str">
        <f t="shared" si="3"/>
        <v>X</v>
      </c>
      <c r="S1057" s="34" t="s">
        <v>60</v>
      </c>
      <c r="T1057" s="34" t="str">
        <f>IF('PL1(Full)'!$N1057&gt;=20,"x",IF(AND('PL1(Full)'!$N1057&gt;=15,'PL1(Full)'!$P1057&gt;60),"x",""))</f>
        <v>x</v>
      </c>
      <c r="U1057" s="34" t="str">
        <f>IF(AND('PL1(Full)'!$H1057="Thôn",'PL1(Full)'!$I1057&lt;75),"x",IF(AND('PL1(Full)'!$H1057="Tổ",'PL1(Full)'!$I1057&lt;100),"x","-"))</f>
        <v>x</v>
      </c>
      <c r="V1057" s="34" t="str">
        <f>IF(AND('PL1(Full)'!$H1057="Thôn",'PL1(Full)'!$I1057&lt;140),"x",IF(AND('PL1(Full)'!$H1057="Tổ",'PL1(Full)'!$I1057&lt;210),"x","-"))</f>
        <v>x</v>
      </c>
      <c r="W1057" s="40" t="str">
        <f t="shared" si="175"/>
        <v>Loại 3</v>
      </c>
      <c r="X1057" s="34"/>
    </row>
    <row r="1058" spans="1:24" ht="15.75" customHeight="1">
      <c r="A1058" s="30">
        <f>_xlfn.AGGREGATE(4,7,A$6:A1057)+1</f>
        <v>803</v>
      </c>
      <c r="B1058" s="31" t="str">
        <f t="shared" si="173"/>
        <v>H. Ngân Sơn</v>
      </c>
      <c r="C1058" s="31" t="str">
        <f t="shared" si="182"/>
        <v>X. Thượng Quan</v>
      </c>
      <c r="D1058" s="34"/>
      <c r="E1058" s="34" t="s">
        <v>58</v>
      </c>
      <c r="F1058" s="31" t="s">
        <v>1120</v>
      </c>
      <c r="G1058" s="34" t="s">
        <v>40</v>
      </c>
      <c r="H1058" s="34" t="str">
        <f>IF(LEFT('PL1(Full)'!$F1058,4)="Thôn","Thôn","Tổ")</f>
        <v>Thôn</v>
      </c>
      <c r="I1058" s="36">
        <v>43</v>
      </c>
      <c r="J1058" s="36">
        <v>160</v>
      </c>
      <c r="K1058" s="36">
        <v>43</v>
      </c>
      <c r="L1058" s="37">
        <f t="shared" si="0"/>
        <v>100</v>
      </c>
      <c r="M1058" s="36">
        <v>39</v>
      </c>
      <c r="N1058" s="38">
        <f t="shared" si="1"/>
        <v>90.697674418604649</v>
      </c>
      <c r="O1058" s="36">
        <v>39</v>
      </c>
      <c r="P1058" s="38">
        <f t="shared" si="2"/>
        <v>100</v>
      </c>
      <c r="Q1058" s="39" t="s">
        <v>52</v>
      </c>
      <c r="R1058" s="39" t="str">
        <f t="shared" si="3"/>
        <v>C</v>
      </c>
      <c r="S1058" s="34" t="s">
        <v>60</v>
      </c>
      <c r="T1058" s="34" t="str">
        <f>IF('PL1(Full)'!$N1058&gt;=20,"x",IF(AND('PL1(Full)'!$N1058&gt;=15,'PL1(Full)'!$P1058&gt;60),"x",""))</f>
        <v>x</v>
      </c>
      <c r="U1058" s="34" t="str">
        <f>IF(AND('PL1(Full)'!$H1058="Thôn",'PL1(Full)'!$I1058&lt;75),"x",IF(AND('PL1(Full)'!$H1058="Tổ",'PL1(Full)'!$I1058&lt;100),"x","-"))</f>
        <v>x</v>
      </c>
      <c r="V1058" s="34" t="str">
        <f>IF(AND('PL1(Full)'!$H1058="Thôn",'PL1(Full)'!$I1058&lt;140),"x",IF(AND('PL1(Full)'!$H1058="Tổ",'PL1(Full)'!$I1058&lt;210),"x","-"))</f>
        <v>x</v>
      </c>
      <c r="W1058" s="40" t="str">
        <f t="shared" si="175"/>
        <v>Loại 3</v>
      </c>
      <c r="X1058" s="34"/>
    </row>
    <row r="1059" spans="1:24" ht="15.75" customHeight="1">
      <c r="A1059" s="30">
        <f>_xlfn.AGGREGATE(4,7,A$6:A1058)+1</f>
        <v>804</v>
      </c>
      <c r="B1059" s="31" t="str">
        <f t="shared" si="173"/>
        <v>H. Ngân Sơn</v>
      </c>
      <c r="C1059" s="31" t="str">
        <f t="shared" si="182"/>
        <v>X. Thượng Quan</v>
      </c>
      <c r="D1059" s="34"/>
      <c r="E1059" s="34" t="s">
        <v>58</v>
      </c>
      <c r="F1059" s="31" t="s">
        <v>1121</v>
      </c>
      <c r="G1059" s="34"/>
      <c r="H1059" s="34" t="str">
        <f>IF(LEFT('PL1(Full)'!$F1059,4)="Thôn","Thôn","Tổ")</f>
        <v>Thôn</v>
      </c>
      <c r="I1059" s="36">
        <v>22</v>
      </c>
      <c r="J1059" s="36">
        <v>97</v>
      </c>
      <c r="K1059" s="36">
        <v>22</v>
      </c>
      <c r="L1059" s="37">
        <f t="shared" si="0"/>
        <v>100</v>
      </c>
      <c r="M1059" s="36">
        <v>22</v>
      </c>
      <c r="N1059" s="38">
        <f t="shared" si="1"/>
        <v>100</v>
      </c>
      <c r="O1059" s="36">
        <v>22</v>
      </c>
      <c r="P1059" s="38">
        <f t="shared" si="2"/>
        <v>100</v>
      </c>
      <c r="Q1059" s="39" t="s">
        <v>52</v>
      </c>
      <c r="R1059" s="39" t="str">
        <f t="shared" si="3"/>
        <v>C</v>
      </c>
      <c r="S1059" s="34" t="s">
        <v>60</v>
      </c>
      <c r="T1059" s="34" t="str">
        <f>IF('PL1(Full)'!$N1059&gt;=20,"x",IF(AND('PL1(Full)'!$N1059&gt;=15,'PL1(Full)'!$P1059&gt;60),"x",""))</f>
        <v>x</v>
      </c>
      <c r="U1059" s="34" t="str">
        <f>IF(AND('PL1(Full)'!$H1059="Thôn",'PL1(Full)'!$I1059&lt;75),"x",IF(AND('PL1(Full)'!$H1059="Tổ",'PL1(Full)'!$I1059&lt;100),"x","-"))</f>
        <v>x</v>
      </c>
      <c r="V1059" s="34" t="str">
        <f>IF(AND('PL1(Full)'!$H1059="Thôn",'PL1(Full)'!$I1059&lt;140),"x",IF(AND('PL1(Full)'!$H1059="Tổ",'PL1(Full)'!$I1059&lt;210),"x","-"))</f>
        <v>x</v>
      </c>
      <c r="W1059" s="40" t="str">
        <f t="shared" si="175"/>
        <v>Loại 3</v>
      </c>
      <c r="X1059" s="34"/>
    </row>
    <row r="1060" spans="1:24" ht="15.75" hidden="1" customHeight="1">
      <c r="A1060" s="41">
        <f>_xlfn.AGGREGATE(4,7,A$6:A1059)+1</f>
        <v>805</v>
      </c>
      <c r="B1060" s="42" t="str">
        <f t="shared" si="173"/>
        <v>H. Ngân Sơn</v>
      </c>
      <c r="C1060" s="42" t="str">
        <f t="shared" si="182"/>
        <v>X. Thượng Quan</v>
      </c>
      <c r="D1060" s="50"/>
      <c r="E1060" s="50" t="s">
        <v>58</v>
      </c>
      <c r="F1060" s="42" t="s">
        <v>1122</v>
      </c>
      <c r="G1060" s="50" t="s">
        <v>40</v>
      </c>
      <c r="H1060" s="50" t="str">
        <f>IF(LEFT('PL1(Full)'!$F1060,4)="Thôn","Thôn","Tổ")</f>
        <v>Thôn</v>
      </c>
      <c r="I1060" s="46">
        <v>108</v>
      </c>
      <c r="J1060" s="46">
        <v>466</v>
      </c>
      <c r="K1060" s="46">
        <v>108</v>
      </c>
      <c r="L1060" s="47">
        <f t="shared" si="0"/>
        <v>100</v>
      </c>
      <c r="M1060" s="46">
        <v>31</v>
      </c>
      <c r="N1060" s="48">
        <f t="shared" si="1"/>
        <v>28.703703703703702</v>
      </c>
      <c r="O1060" s="46">
        <v>31</v>
      </c>
      <c r="P1060" s="48">
        <f t="shared" si="2"/>
        <v>100</v>
      </c>
      <c r="Q1060" s="49" t="s">
        <v>43</v>
      </c>
      <c r="R1060" s="49" t="str">
        <f t="shared" si="3"/>
        <v>X</v>
      </c>
      <c r="S1060" s="50"/>
      <c r="T1060" s="50" t="str">
        <f>IF('PL1(Full)'!$N1060&gt;=20,"x",IF(AND('PL1(Full)'!$N1060&gt;=15,'PL1(Full)'!$P1060&gt;60),"x",""))</f>
        <v>x</v>
      </c>
      <c r="U1060" s="50" t="str">
        <f>IF(AND('PL1(Full)'!$H1060="Thôn",'PL1(Full)'!$I1060&lt;75),"x",IF(AND('PL1(Full)'!$H1060="Tổ",'PL1(Full)'!$I1060&lt;100),"x","-"))</f>
        <v>-</v>
      </c>
      <c r="V1060" s="50" t="str">
        <f>IF(AND('PL1(Full)'!$H1060="Thôn",'PL1(Full)'!$I1060&lt;140),"x",IF(AND('PL1(Full)'!$H1060="Tổ",'PL1(Full)'!$I1060&lt;210),"x","-"))</f>
        <v>x</v>
      </c>
      <c r="W1060" s="51" t="str">
        <f t="shared" si="175"/>
        <v>Loại 2</v>
      </c>
      <c r="X1060" s="50"/>
    </row>
    <row r="1061" spans="1:24" ht="15.75" customHeight="1">
      <c r="A1061" s="52">
        <f>_xlfn.AGGREGATE(4,7,A$6:A1060)+1</f>
        <v>805</v>
      </c>
      <c r="B1061" s="14" t="str">
        <f t="shared" si="173"/>
        <v>H. Ngân Sơn</v>
      </c>
      <c r="C1061" s="14" t="s">
        <v>1123</v>
      </c>
      <c r="D1061" s="25" t="s">
        <v>58</v>
      </c>
      <c r="E1061" s="25" t="s">
        <v>58</v>
      </c>
      <c r="F1061" s="14" t="s">
        <v>1124</v>
      </c>
      <c r="G1061" s="25"/>
      <c r="H1061" s="25" t="str">
        <f>IF(LEFT('PL1(Full)'!$F1061,4)="Thôn","Thôn","Tổ")</f>
        <v>Thôn</v>
      </c>
      <c r="I1061" s="20">
        <v>68</v>
      </c>
      <c r="J1061" s="20">
        <v>68</v>
      </c>
      <c r="K1061" s="20">
        <v>68</v>
      </c>
      <c r="L1061" s="21">
        <f t="shared" si="0"/>
        <v>100</v>
      </c>
      <c r="M1061" s="20">
        <v>39</v>
      </c>
      <c r="N1061" s="22">
        <f t="shared" si="1"/>
        <v>57.352941176470587</v>
      </c>
      <c r="O1061" s="20">
        <v>39</v>
      </c>
      <c r="P1061" s="22">
        <f t="shared" si="2"/>
        <v>100</v>
      </c>
      <c r="Q1061" s="23" t="s">
        <v>56</v>
      </c>
      <c r="R1061" s="24" t="str">
        <f t="shared" si="3"/>
        <v>X</v>
      </c>
      <c r="S1061" s="25" t="s">
        <v>60</v>
      </c>
      <c r="T1061" s="26" t="str">
        <f>IF('PL1(Full)'!$N1061&gt;=20,"x",IF(AND('PL1(Full)'!$N1061&gt;=15,'PL1(Full)'!$P1061&gt;60),"x",""))</f>
        <v>x</v>
      </c>
      <c r="U1061" s="27" t="str">
        <f>IF(AND('PL1(Full)'!$H1061="Thôn",'PL1(Full)'!$I1061&lt;75),"x",IF(AND('PL1(Full)'!$H1061="Tổ",'PL1(Full)'!$I1061&lt;100),"x","-"))</f>
        <v>x</v>
      </c>
      <c r="V1061" s="28" t="str">
        <f>IF(AND('PL1(Full)'!$H1061="Thôn",'PL1(Full)'!$I1061&lt;140),"x",IF(AND('PL1(Full)'!$H1061="Tổ",'PL1(Full)'!$I1061&lt;210),"x","-"))</f>
        <v>x</v>
      </c>
      <c r="W1061" s="29" t="str">
        <f t="shared" si="175"/>
        <v>Loại 3</v>
      </c>
      <c r="X1061" s="25"/>
    </row>
    <row r="1062" spans="1:24" ht="15.75" customHeight="1">
      <c r="A1062" s="30">
        <f>_xlfn.AGGREGATE(4,7,A$6:A1061)+1</f>
        <v>806</v>
      </c>
      <c r="B1062" s="31" t="str">
        <f t="shared" si="173"/>
        <v>H. Ngân Sơn</v>
      </c>
      <c r="C1062" s="54" t="str">
        <f t="shared" ref="C1062:C1068" si="183">C1061</f>
        <v>X. Trung Hòa</v>
      </c>
      <c r="D1062" s="34"/>
      <c r="E1062" s="34" t="s">
        <v>58</v>
      </c>
      <c r="F1062" s="31" t="s">
        <v>1125</v>
      </c>
      <c r="G1062" s="34"/>
      <c r="H1062" s="34" t="str">
        <f>IF(LEFT('PL1(Full)'!$F1062,4)="Thôn","Thôn","Tổ")</f>
        <v>Thôn</v>
      </c>
      <c r="I1062" s="36">
        <v>36</v>
      </c>
      <c r="J1062" s="36">
        <v>36</v>
      </c>
      <c r="K1062" s="36">
        <v>36</v>
      </c>
      <c r="L1062" s="37">
        <f t="shared" si="0"/>
        <v>100</v>
      </c>
      <c r="M1062" s="36">
        <v>15</v>
      </c>
      <c r="N1062" s="38">
        <f t="shared" si="1"/>
        <v>41.666666666666664</v>
      </c>
      <c r="O1062" s="36">
        <v>15</v>
      </c>
      <c r="P1062" s="38">
        <f t="shared" si="2"/>
        <v>100</v>
      </c>
      <c r="Q1062" s="39" t="s">
        <v>56</v>
      </c>
      <c r="R1062" s="39" t="str">
        <f t="shared" si="3"/>
        <v>X</v>
      </c>
      <c r="S1062" s="34" t="s">
        <v>60</v>
      </c>
      <c r="T1062" s="34" t="str">
        <f>IF('PL1(Full)'!$N1062&gt;=20,"x",IF(AND('PL1(Full)'!$N1062&gt;=15,'PL1(Full)'!$P1062&gt;60),"x",""))</f>
        <v>x</v>
      </c>
      <c r="U1062" s="34" t="str">
        <f>IF(AND('PL1(Full)'!$H1062="Thôn",'PL1(Full)'!$I1062&lt;75),"x",IF(AND('PL1(Full)'!$H1062="Tổ",'PL1(Full)'!$I1062&lt;100),"x","-"))</f>
        <v>x</v>
      </c>
      <c r="V1062" s="34" t="str">
        <f>IF(AND('PL1(Full)'!$H1062="Thôn",'PL1(Full)'!$I1062&lt;140),"x",IF(AND('PL1(Full)'!$H1062="Tổ",'PL1(Full)'!$I1062&lt;210),"x","-"))</f>
        <v>x</v>
      </c>
      <c r="W1062" s="40" t="str">
        <f t="shared" si="175"/>
        <v>Loại 3</v>
      </c>
      <c r="X1062" s="34"/>
    </row>
    <row r="1063" spans="1:24" ht="15.75" customHeight="1">
      <c r="A1063" s="30">
        <f>_xlfn.AGGREGATE(4,7,A$6:A1062)+1</f>
        <v>807</v>
      </c>
      <c r="B1063" s="31" t="str">
        <f t="shared" si="173"/>
        <v>H. Ngân Sơn</v>
      </c>
      <c r="C1063" s="54" t="str">
        <f t="shared" si="183"/>
        <v>X. Trung Hòa</v>
      </c>
      <c r="D1063" s="34"/>
      <c r="E1063" s="34" t="s">
        <v>58</v>
      </c>
      <c r="F1063" s="31" t="s">
        <v>1126</v>
      </c>
      <c r="G1063" s="34"/>
      <c r="H1063" s="34" t="str">
        <f>IF(LEFT('PL1(Full)'!$F1063,4)="Thôn","Thôn","Tổ")</f>
        <v>Thôn</v>
      </c>
      <c r="I1063" s="36">
        <v>31</v>
      </c>
      <c r="J1063" s="36">
        <v>31</v>
      </c>
      <c r="K1063" s="36">
        <v>31</v>
      </c>
      <c r="L1063" s="37">
        <f t="shared" si="0"/>
        <v>100</v>
      </c>
      <c r="M1063" s="36">
        <v>23</v>
      </c>
      <c r="N1063" s="38">
        <f t="shared" si="1"/>
        <v>74.193548387096769</v>
      </c>
      <c r="O1063" s="36">
        <v>23</v>
      </c>
      <c r="P1063" s="38">
        <f t="shared" si="2"/>
        <v>100</v>
      </c>
      <c r="Q1063" s="39" t="s">
        <v>63</v>
      </c>
      <c r="R1063" s="39" t="str">
        <f t="shared" si="3"/>
        <v>X</v>
      </c>
      <c r="S1063" s="34" t="s">
        <v>60</v>
      </c>
      <c r="T1063" s="34" t="str">
        <f>IF('PL1(Full)'!$N1063&gt;=20,"x",IF(AND('PL1(Full)'!$N1063&gt;=15,'PL1(Full)'!$P1063&gt;60),"x",""))</f>
        <v>x</v>
      </c>
      <c r="U1063" s="34" t="str">
        <f>IF(AND('PL1(Full)'!$H1063="Thôn",'PL1(Full)'!$I1063&lt;75),"x",IF(AND('PL1(Full)'!$H1063="Tổ",'PL1(Full)'!$I1063&lt;100),"x","-"))</f>
        <v>x</v>
      </c>
      <c r="V1063" s="34" t="str">
        <f>IF(AND('PL1(Full)'!$H1063="Thôn",'PL1(Full)'!$I1063&lt;140),"x",IF(AND('PL1(Full)'!$H1063="Tổ",'PL1(Full)'!$I1063&lt;210),"x","-"))</f>
        <v>x</v>
      </c>
      <c r="W1063" s="40" t="str">
        <f t="shared" si="175"/>
        <v>Loại 3</v>
      </c>
      <c r="X1063" s="34"/>
    </row>
    <row r="1064" spans="1:24" ht="15.75" customHeight="1">
      <c r="A1064" s="30">
        <f>_xlfn.AGGREGATE(4,7,A$6:A1063)+1</f>
        <v>808</v>
      </c>
      <c r="B1064" s="31" t="str">
        <f t="shared" si="173"/>
        <v>H. Ngân Sơn</v>
      </c>
      <c r="C1064" s="54" t="str">
        <f t="shared" si="183"/>
        <v>X. Trung Hòa</v>
      </c>
      <c r="D1064" s="34"/>
      <c r="E1064" s="34" t="s">
        <v>58</v>
      </c>
      <c r="F1064" s="31" t="s">
        <v>1127</v>
      </c>
      <c r="G1064" s="34"/>
      <c r="H1064" s="34" t="str">
        <f>IF(LEFT('PL1(Full)'!$F1064,4)="Thôn","Thôn","Tổ")</f>
        <v>Thôn</v>
      </c>
      <c r="I1064" s="36">
        <v>19</v>
      </c>
      <c r="J1064" s="36">
        <v>19</v>
      </c>
      <c r="K1064" s="36">
        <v>19</v>
      </c>
      <c r="L1064" s="37">
        <f t="shared" si="0"/>
        <v>100</v>
      </c>
      <c r="M1064" s="36">
        <v>18</v>
      </c>
      <c r="N1064" s="38">
        <f t="shared" si="1"/>
        <v>94.736842105263165</v>
      </c>
      <c r="O1064" s="36">
        <v>18</v>
      </c>
      <c r="P1064" s="38">
        <f t="shared" si="2"/>
        <v>100</v>
      </c>
      <c r="Q1064" s="39" t="s">
        <v>63</v>
      </c>
      <c r="R1064" s="39" t="str">
        <f t="shared" si="3"/>
        <v>X</v>
      </c>
      <c r="S1064" s="34" t="s">
        <v>60</v>
      </c>
      <c r="T1064" s="34" t="str">
        <f>IF('PL1(Full)'!$N1064&gt;=20,"x",IF(AND('PL1(Full)'!$N1064&gt;=15,'PL1(Full)'!$P1064&gt;60),"x",""))</f>
        <v>x</v>
      </c>
      <c r="U1064" s="34" t="str">
        <f>IF(AND('PL1(Full)'!$H1064="Thôn",'PL1(Full)'!$I1064&lt;75),"x",IF(AND('PL1(Full)'!$H1064="Tổ",'PL1(Full)'!$I1064&lt;100),"x","-"))</f>
        <v>x</v>
      </c>
      <c r="V1064" s="34" t="str">
        <f>IF(AND('PL1(Full)'!$H1064="Thôn",'PL1(Full)'!$I1064&lt;140),"x",IF(AND('PL1(Full)'!$H1064="Tổ",'PL1(Full)'!$I1064&lt;210),"x","-"))</f>
        <v>x</v>
      </c>
      <c r="W1064" s="40" t="str">
        <f t="shared" si="175"/>
        <v>Loại 3</v>
      </c>
      <c r="X1064" s="34"/>
    </row>
    <row r="1065" spans="1:24" ht="15.75" customHeight="1">
      <c r="A1065" s="30">
        <f>_xlfn.AGGREGATE(4,7,A$6:A1064)+1</f>
        <v>809</v>
      </c>
      <c r="B1065" s="31" t="str">
        <f t="shared" si="173"/>
        <v>H. Ngân Sơn</v>
      </c>
      <c r="C1065" s="54" t="str">
        <f t="shared" si="183"/>
        <v>X. Trung Hòa</v>
      </c>
      <c r="D1065" s="34"/>
      <c r="E1065" s="34" t="s">
        <v>58</v>
      </c>
      <c r="F1065" s="31" t="s">
        <v>1128</v>
      </c>
      <c r="G1065" s="34"/>
      <c r="H1065" s="34" t="str">
        <f>IF(LEFT('PL1(Full)'!$F1065,4)="Thôn","Thôn","Tổ")</f>
        <v>Thôn</v>
      </c>
      <c r="I1065" s="36">
        <v>31</v>
      </c>
      <c r="J1065" s="36">
        <v>31</v>
      </c>
      <c r="K1065" s="36">
        <v>31</v>
      </c>
      <c r="L1065" s="37">
        <f t="shared" si="0"/>
        <v>100</v>
      </c>
      <c r="M1065" s="36">
        <v>31</v>
      </c>
      <c r="N1065" s="38">
        <f t="shared" si="1"/>
        <v>100</v>
      </c>
      <c r="O1065" s="36">
        <v>31</v>
      </c>
      <c r="P1065" s="38">
        <f t="shared" si="2"/>
        <v>100</v>
      </c>
      <c r="Q1065" s="39" t="s">
        <v>52</v>
      </c>
      <c r="R1065" s="39" t="str">
        <f t="shared" si="3"/>
        <v>C</v>
      </c>
      <c r="S1065" s="34" t="s">
        <v>60</v>
      </c>
      <c r="T1065" s="34" t="str">
        <f>IF('PL1(Full)'!$N1065&gt;=20,"x",IF(AND('PL1(Full)'!$N1065&gt;=15,'PL1(Full)'!$P1065&gt;60),"x",""))</f>
        <v>x</v>
      </c>
      <c r="U1065" s="34" t="str">
        <f>IF(AND('PL1(Full)'!$H1065="Thôn",'PL1(Full)'!$I1065&lt;75),"x",IF(AND('PL1(Full)'!$H1065="Tổ",'PL1(Full)'!$I1065&lt;100),"x","-"))</f>
        <v>x</v>
      </c>
      <c r="V1065" s="34" t="str">
        <f>IF(AND('PL1(Full)'!$H1065="Thôn",'PL1(Full)'!$I1065&lt;140),"x",IF(AND('PL1(Full)'!$H1065="Tổ",'PL1(Full)'!$I1065&lt;210),"x","-"))</f>
        <v>x</v>
      </c>
      <c r="W1065" s="40" t="str">
        <f t="shared" si="175"/>
        <v>Loại 3</v>
      </c>
      <c r="X1065" s="34"/>
    </row>
    <row r="1066" spans="1:24" ht="15.75" hidden="1" customHeight="1">
      <c r="A1066" s="30">
        <f>_xlfn.AGGREGATE(4,7,A$6:A1065)+1</f>
        <v>810</v>
      </c>
      <c r="B1066" s="31" t="str">
        <f t="shared" si="173"/>
        <v>H. Ngân Sơn</v>
      </c>
      <c r="C1066" s="54" t="str">
        <f t="shared" si="183"/>
        <v>X. Trung Hòa</v>
      </c>
      <c r="D1066" s="34"/>
      <c r="E1066" s="34" t="s">
        <v>58</v>
      </c>
      <c r="F1066" s="31" t="s">
        <v>1092</v>
      </c>
      <c r="G1066" s="34" t="s">
        <v>40</v>
      </c>
      <c r="H1066" s="34" t="str">
        <f>IF(LEFT('PL1(Full)'!$F1066,4)="Thôn","Thôn","Tổ")</f>
        <v>Thôn</v>
      </c>
      <c r="I1066" s="36">
        <v>78</v>
      </c>
      <c r="J1066" s="36">
        <v>78</v>
      </c>
      <c r="K1066" s="36">
        <v>76</v>
      </c>
      <c r="L1066" s="37">
        <f t="shared" si="0"/>
        <v>97.435897435897431</v>
      </c>
      <c r="M1066" s="36">
        <v>19</v>
      </c>
      <c r="N1066" s="38">
        <f t="shared" si="1"/>
        <v>24.358974358974358</v>
      </c>
      <c r="O1066" s="36">
        <v>18</v>
      </c>
      <c r="P1066" s="38">
        <f t="shared" si="2"/>
        <v>94.736842105263165</v>
      </c>
      <c r="Q1066" s="39" t="s">
        <v>56</v>
      </c>
      <c r="R1066" s="39" t="str">
        <f t="shared" si="3"/>
        <v>X</v>
      </c>
      <c r="S1066" s="34" t="s">
        <v>60</v>
      </c>
      <c r="T1066" s="34" t="str">
        <f>IF('PL1(Full)'!$N1066&gt;=20,"x",IF(AND('PL1(Full)'!$N1066&gt;=15,'PL1(Full)'!$P1066&gt;60),"x",""))</f>
        <v>x</v>
      </c>
      <c r="U1066" s="34" t="str">
        <f>IF(AND('PL1(Full)'!$H1066="Thôn",'PL1(Full)'!$I1066&lt;75),"x",IF(AND('PL1(Full)'!$H1066="Tổ",'PL1(Full)'!$I1066&lt;100),"x","-"))</f>
        <v>-</v>
      </c>
      <c r="V1066" s="34" t="str">
        <f>IF(AND('PL1(Full)'!$H1066="Thôn",'PL1(Full)'!$I1066&lt;140),"x",IF(AND('PL1(Full)'!$H1066="Tổ",'PL1(Full)'!$I1066&lt;210),"x","-"))</f>
        <v>x</v>
      </c>
      <c r="W1066" s="40" t="str">
        <f t="shared" si="175"/>
        <v>Loại 3</v>
      </c>
      <c r="X1066" s="34"/>
    </row>
    <row r="1067" spans="1:24" ht="15.75" customHeight="1">
      <c r="A1067" s="30">
        <f>_xlfn.AGGREGATE(4,7,A$6:A1066)+1</f>
        <v>810</v>
      </c>
      <c r="B1067" s="31" t="str">
        <f t="shared" si="173"/>
        <v>H. Ngân Sơn</v>
      </c>
      <c r="C1067" s="54" t="str">
        <f t="shared" si="183"/>
        <v>X. Trung Hòa</v>
      </c>
      <c r="D1067" s="34"/>
      <c r="E1067" s="34" t="s">
        <v>58</v>
      </c>
      <c r="F1067" s="31" t="s">
        <v>297</v>
      </c>
      <c r="G1067" s="34" t="s">
        <v>40</v>
      </c>
      <c r="H1067" s="34" t="str">
        <f>IF(LEFT('PL1(Full)'!$F1067,4)="Thôn","Thôn","Tổ")</f>
        <v>Thôn</v>
      </c>
      <c r="I1067" s="36">
        <v>60</v>
      </c>
      <c r="J1067" s="36">
        <v>60</v>
      </c>
      <c r="K1067" s="36">
        <v>60</v>
      </c>
      <c r="L1067" s="37">
        <f t="shared" si="0"/>
        <v>100</v>
      </c>
      <c r="M1067" s="36">
        <v>23</v>
      </c>
      <c r="N1067" s="38">
        <f t="shared" si="1"/>
        <v>38.333333333333336</v>
      </c>
      <c r="O1067" s="36">
        <v>23</v>
      </c>
      <c r="P1067" s="38">
        <f t="shared" si="2"/>
        <v>100</v>
      </c>
      <c r="Q1067" s="39" t="s">
        <v>56</v>
      </c>
      <c r="R1067" s="39" t="str">
        <f t="shared" si="3"/>
        <v>X</v>
      </c>
      <c r="S1067" s="34" t="s">
        <v>60</v>
      </c>
      <c r="T1067" s="34" t="str">
        <f>IF('PL1(Full)'!$N1067&gt;=20,"x",IF(AND('PL1(Full)'!$N1067&gt;=15,'PL1(Full)'!$P1067&gt;60),"x",""))</f>
        <v>x</v>
      </c>
      <c r="U1067" s="34" t="str">
        <f>IF(AND('PL1(Full)'!$H1067="Thôn",'PL1(Full)'!$I1067&lt;75),"x",IF(AND('PL1(Full)'!$H1067="Tổ",'PL1(Full)'!$I1067&lt;100),"x","-"))</f>
        <v>x</v>
      </c>
      <c r="V1067" s="34" t="str">
        <f>IF(AND('PL1(Full)'!$H1067="Thôn",'PL1(Full)'!$I1067&lt;140),"x",IF(AND('PL1(Full)'!$H1067="Tổ",'PL1(Full)'!$I1067&lt;210),"x","-"))</f>
        <v>x</v>
      </c>
      <c r="W1067" s="40" t="str">
        <f t="shared" si="175"/>
        <v>Loại 3</v>
      </c>
      <c r="X1067" s="34"/>
    </row>
    <row r="1068" spans="1:24" ht="15.75" customHeight="1">
      <c r="A1068" s="41">
        <f>_xlfn.AGGREGATE(4,7,A$6:A1067)+1</f>
        <v>811</v>
      </c>
      <c r="B1068" s="42" t="str">
        <f t="shared" si="173"/>
        <v>H. Ngân Sơn</v>
      </c>
      <c r="C1068" s="55" t="str">
        <f t="shared" si="183"/>
        <v>X. Trung Hòa</v>
      </c>
      <c r="D1068" s="50"/>
      <c r="E1068" s="50" t="s">
        <v>58</v>
      </c>
      <c r="F1068" s="42" t="s">
        <v>1129</v>
      </c>
      <c r="G1068" s="50"/>
      <c r="H1068" s="50" t="str">
        <f>IF(LEFT('PL1(Full)'!$F1068,4)="Thôn","Thôn","Tổ")</f>
        <v>Thôn</v>
      </c>
      <c r="I1068" s="46">
        <v>23</v>
      </c>
      <c r="J1068" s="46">
        <v>23</v>
      </c>
      <c r="K1068" s="46">
        <v>23</v>
      </c>
      <c r="L1068" s="47">
        <f t="shared" si="0"/>
        <v>100</v>
      </c>
      <c r="M1068" s="46">
        <v>16</v>
      </c>
      <c r="N1068" s="48">
        <f t="shared" si="1"/>
        <v>69.565217391304344</v>
      </c>
      <c r="O1068" s="45">
        <v>16</v>
      </c>
      <c r="P1068" s="48">
        <f t="shared" si="2"/>
        <v>100</v>
      </c>
      <c r="Q1068" s="49" t="s">
        <v>63</v>
      </c>
      <c r="R1068" s="49" t="str">
        <f t="shared" si="3"/>
        <v>X</v>
      </c>
      <c r="S1068" s="50" t="s">
        <v>60</v>
      </c>
      <c r="T1068" s="50" t="str">
        <f>IF('PL1(Full)'!$N1068&gt;=20,"x",IF(AND('PL1(Full)'!$N1068&gt;=15,'PL1(Full)'!$P1068&gt;60),"x",""))</f>
        <v>x</v>
      </c>
      <c r="U1068" s="50" t="str">
        <f>IF(AND('PL1(Full)'!$H1068="Thôn",'PL1(Full)'!$I1068&lt;75),"x",IF(AND('PL1(Full)'!$H1068="Tổ",'PL1(Full)'!$I1068&lt;100),"x","-"))</f>
        <v>x</v>
      </c>
      <c r="V1068" s="34" t="str">
        <f>IF(AND('PL1(Full)'!$H1068="Thôn",'PL1(Full)'!$I1068&lt;140),"x",IF(AND('PL1(Full)'!$H1068="Tổ",'PL1(Full)'!$I1068&lt;210),"x","-"))</f>
        <v>x</v>
      </c>
      <c r="W1068" s="51" t="str">
        <f t="shared" si="175"/>
        <v>Loại 3</v>
      </c>
      <c r="X1068" s="50"/>
    </row>
    <row r="1069" spans="1:24" ht="15.75" customHeight="1">
      <c r="A1069" s="12">
        <f>_xlfn.AGGREGATE(4,7,A$6:A1068)+1</f>
        <v>812</v>
      </c>
      <c r="B1069" s="13" t="s">
        <v>1130</v>
      </c>
      <c r="C1069" s="14" t="s">
        <v>1131</v>
      </c>
      <c r="D1069" s="15" t="s">
        <v>58</v>
      </c>
      <c r="E1069" s="16" t="s">
        <v>58</v>
      </c>
      <c r="F1069" s="65" t="s">
        <v>1132</v>
      </c>
      <c r="G1069" s="18"/>
      <c r="H1069" s="18" t="str">
        <f>IF(LEFT('PL1(Full)'!$F1069,4)="Thôn","Thôn","Tổ")</f>
        <v>Thôn</v>
      </c>
      <c r="I1069" s="19">
        <v>55</v>
      </c>
      <c r="J1069" s="19">
        <v>262</v>
      </c>
      <c r="K1069" s="19">
        <v>53</v>
      </c>
      <c r="L1069" s="21">
        <f t="shared" si="0"/>
        <v>96.36363636363636</v>
      </c>
      <c r="M1069" s="19">
        <v>38</v>
      </c>
      <c r="N1069" s="22">
        <f t="shared" si="1"/>
        <v>69.090909090909093</v>
      </c>
      <c r="O1069" s="19">
        <v>38</v>
      </c>
      <c r="P1069" s="22">
        <f t="shared" si="2"/>
        <v>100</v>
      </c>
      <c r="Q1069" s="87" t="s">
        <v>338</v>
      </c>
      <c r="R1069" s="87" t="str">
        <f t="shared" si="3"/>
        <v>X</v>
      </c>
      <c r="S1069" s="18" t="s">
        <v>60</v>
      </c>
      <c r="T1069" s="26" t="str">
        <f>IF('PL1(Full)'!$N1069&gt;=20,"x",IF(AND('PL1(Full)'!$N1069&gt;=15,'PL1(Full)'!$P1069&gt;60),"x",""))</f>
        <v>x</v>
      </c>
      <c r="U1069" s="27" t="str">
        <f>IF(AND('PL1(Full)'!$H1069="Thôn",'PL1(Full)'!$I1069&lt;75),"x",IF(AND('PL1(Full)'!$H1069="Tổ",'PL1(Full)'!$I1069&lt;100),"x","-"))</f>
        <v>x</v>
      </c>
      <c r="V1069" s="28" t="str">
        <f>IF(AND('PL1(Full)'!$H1069="Thôn",'PL1(Full)'!$I1069&lt;140),"x",IF(AND('PL1(Full)'!$H1069="Tổ",'PL1(Full)'!$I1069&lt;210),"x","-"))</f>
        <v>x</v>
      </c>
      <c r="W1069" s="29" t="str">
        <f t="shared" si="175"/>
        <v>Loại 3</v>
      </c>
      <c r="X1069" s="18"/>
    </row>
    <row r="1070" spans="1:24" ht="15.75" customHeight="1">
      <c r="A1070" s="30">
        <f>_xlfn.AGGREGATE(4,7,A$6:A1069)+1</f>
        <v>813</v>
      </c>
      <c r="B1070" s="54" t="str">
        <f t="shared" ref="B1070:C1070" si="184">B1069</f>
        <v>H. Pác Nặm</v>
      </c>
      <c r="C1070" s="54" t="str">
        <f t="shared" si="184"/>
        <v>X. An Thắng</v>
      </c>
      <c r="D1070" s="32"/>
      <c r="E1070" s="32" t="s">
        <v>58</v>
      </c>
      <c r="F1070" s="66" t="s">
        <v>608</v>
      </c>
      <c r="G1070" s="32"/>
      <c r="H1070" s="32" t="str">
        <f>IF(LEFT('PL1(Full)'!$F1070,4)="Thôn","Thôn","Tổ")</f>
        <v>Thôn</v>
      </c>
      <c r="I1070" s="35">
        <v>46</v>
      </c>
      <c r="J1070" s="35">
        <v>252</v>
      </c>
      <c r="K1070" s="35">
        <v>44</v>
      </c>
      <c r="L1070" s="37">
        <f t="shared" si="0"/>
        <v>95.652173913043484</v>
      </c>
      <c r="M1070" s="35">
        <v>42</v>
      </c>
      <c r="N1070" s="38">
        <f t="shared" si="1"/>
        <v>91.304347826086953</v>
      </c>
      <c r="O1070" s="35">
        <v>42</v>
      </c>
      <c r="P1070" s="38">
        <f t="shared" si="2"/>
        <v>100</v>
      </c>
      <c r="Q1070" s="88" t="s">
        <v>1133</v>
      </c>
      <c r="R1070" s="88" t="str">
        <f t="shared" si="3"/>
        <v>X</v>
      </c>
      <c r="S1070" s="32" t="s">
        <v>60</v>
      </c>
      <c r="T1070" s="34" t="str">
        <f>IF('PL1(Full)'!$N1070&gt;=20,"x",IF(AND('PL1(Full)'!$N1070&gt;=15,'PL1(Full)'!$P1070&gt;60),"x",""))</f>
        <v>x</v>
      </c>
      <c r="U1070" s="34" t="str">
        <f>IF(AND('PL1(Full)'!$H1070="Thôn",'PL1(Full)'!$I1070&lt;75),"x",IF(AND('PL1(Full)'!$H1070="Tổ",'PL1(Full)'!$I1070&lt;100),"x","-"))</f>
        <v>x</v>
      </c>
      <c r="V1070" s="34" t="str">
        <f>IF(AND('PL1(Full)'!$H1070="Thôn",'PL1(Full)'!$I1070&lt;140),"x",IF(AND('PL1(Full)'!$H1070="Tổ",'PL1(Full)'!$I1070&lt;210),"x","-"))</f>
        <v>x</v>
      </c>
      <c r="W1070" s="40" t="str">
        <f t="shared" si="175"/>
        <v>Loại 3</v>
      </c>
      <c r="X1070" s="32"/>
    </row>
    <row r="1071" spans="1:24" ht="15.75" customHeight="1">
      <c r="A1071" s="30">
        <f>_xlfn.AGGREGATE(4,7,A$6:A1070)+1</f>
        <v>814</v>
      </c>
      <c r="B1071" s="54" t="str">
        <f t="shared" ref="B1071:C1071" si="185">B1070</f>
        <v>H. Pác Nặm</v>
      </c>
      <c r="C1071" s="54" t="str">
        <f t="shared" si="185"/>
        <v>X. An Thắng</v>
      </c>
      <c r="D1071" s="32"/>
      <c r="E1071" s="32" t="s">
        <v>58</v>
      </c>
      <c r="F1071" s="66" t="s">
        <v>634</v>
      </c>
      <c r="G1071" s="32"/>
      <c r="H1071" s="32" t="str">
        <f>IF(LEFT('PL1(Full)'!$F1071,4)="Thôn","Thôn","Tổ")</f>
        <v>Thôn</v>
      </c>
      <c r="I1071" s="35">
        <v>35</v>
      </c>
      <c r="J1071" s="35">
        <v>160</v>
      </c>
      <c r="K1071" s="35">
        <v>30</v>
      </c>
      <c r="L1071" s="37">
        <f t="shared" si="0"/>
        <v>85.714285714285708</v>
      </c>
      <c r="M1071" s="35">
        <v>9</v>
      </c>
      <c r="N1071" s="38">
        <f t="shared" si="1"/>
        <v>25.714285714285715</v>
      </c>
      <c r="O1071" s="35">
        <v>9</v>
      </c>
      <c r="P1071" s="38">
        <f t="shared" si="2"/>
        <v>100</v>
      </c>
      <c r="Q1071" s="88" t="s">
        <v>63</v>
      </c>
      <c r="R1071" s="88" t="str">
        <f t="shared" si="3"/>
        <v>X</v>
      </c>
      <c r="S1071" s="32"/>
      <c r="T1071" s="34" t="str">
        <f>IF('PL1(Full)'!$N1071&gt;=20,"x",IF(AND('PL1(Full)'!$N1071&gt;=15,'PL1(Full)'!$P1071&gt;60),"x",""))</f>
        <v>x</v>
      </c>
      <c r="U1071" s="34" t="str">
        <f>IF(AND('PL1(Full)'!$H1071="Thôn",'PL1(Full)'!$I1071&lt;75),"x",IF(AND('PL1(Full)'!$H1071="Tổ",'PL1(Full)'!$I1071&lt;100),"x","-"))</f>
        <v>x</v>
      </c>
      <c r="V1071" s="34" t="str">
        <f>IF(AND('PL1(Full)'!$H1071="Thôn",'PL1(Full)'!$I1071&lt;140),"x",IF(AND('PL1(Full)'!$H1071="Tổ",'PL1(Full)'!$I1071&lt;210),"x","-"))</f>
        <v>x</v>
      </c>
      <c r="W1071" s="40" t="str">
        <f t="shared" si="175"/>
        <v>Loại 3</v>
      </c>
      <c r="X1071" s="32"/>
    </row>
    <row r="1072" spans="1:24" ht="15.75" customHeight="1">
      <c r="A1072" s="30">
        <f>_xlfn.AGGREGATE(4,7,A$6:A1071)+1</f>
        <v>815</v>
      </c>
      <c r="B1072" s="54" t="str">
        <f t="shared" ref="B1072:C1072" si="186">B1071</f>
        <v>H. Pác Nặm</v>
      </c>
      <c r="C1072" s="54" t="str">
        <f t="shared" si="186"/>
        <v>X. An Thắng</v>
      </c>
      <c r="D1072" s="32"/>
      <c r="E1072" s="32" t="s">
        <v>58</v>
      </c>
      <c r="F1072" s="66" t="s">
        <v>1094</v>
      </c>
      <c r="G1072" s="32"/>
      <c r="H1072" s="32" t="str">
        <f>IF(LEFT('PL1(Full)'!$F1072,4)="Thôn","Thôn","Tổ")</f>
        <v>Thôn</v>
      </c>
      <c r="I1072" s="35">
        <v>27</v>
      </c>
      <c r="J1072" s="35">
        <v>262</v>
      </c>
      <c r="K1072" s="35">
        <v>26</v>
      </c>
      <c r="L1072" s="37">
        <f t="shared" si="0"/>
        <v>96.296296296296291</v>
      </c>
      <c r="M1072" s="35">
        <v>9</v>
      </c>
      <c r="N1072" s="38">
        <f t="shared" si="1"/>
        <v>33.333333333333336</v>
      </c>
      <c r="O1072" s="35">
        <v>9</v>
      </c>
      <c r="P1072" s="38">
        <f t="shared" si="2"/>
        <v>100</v>
      </c>
      <c r="Q1072" s="88" t="s">
        <v>154</v>
      </c>
      <c r="R1072" s="88" t="str">
        <f t="shared" si="3"/>
        <v>X</v>
      </c>
      <c r="S1072" s="32" t="s">
        <v>60</v>
      </c>
      <c r="T1072" s="34" t="str">
        <f>IF('PL1(Full)'!$N1072&gt;=20,"x",IF(AND('PL1(Full)'!$N1072&gt;=15,'PL1(Full)'!$P1072&gt;60),"x",""))</f>
        <v>x</v>
      </c>
      <c r="U1072" s="34" t="str">
        <f>IF(AND('PL1(Full)'!$H1072="Thôn",'PL1(Full)'!$I1072&lt;75),"x",IF(AND('PL1(Full)'!$H1072="Tổ",'PL1(Full)'!$I1072&lt;100),"x","-"))</f>
        <v>x</v>
      </c>
      <c r="V1072" s="34" t="str">
        <f>IF(AND('PL1(Full)'!$H1072="Thôn",'PL1(Full)'!$I1072&lt;140),"x",IF(AND('PL1(Full)'!$H1072="Tổ",'PL1(Full)'!$I1072&lt;210),"x","-"))</f>
        <v>x</v>
      </c>
      <c r="W1072" s="40" t="str">
        <f t="shared" si="175"/>
        <v>Loại 3</v>
      </c>
      <c r="X1072" s="32"/>
    </row>
    <row r="1073" spans="1:24" ht="15.75" customHeight="1">
      <c r="A1073" s="30">
        <f>_xlfn.AGGREGATE(4,7,A$6:A1072)+1</f>
        <v>816</v>
      </c>
      <c r="B1073" s="54" t="str">
        <f t="shared" ref="B1073:C1073" si="187">B1072</f>
        <v>H. Pác Nặm</v>
      </c>
      <c r="C1073" s="54" t="str">
        <f t="shared" si="187"/>
        <v>X. An Thắng</v>
      </c>
      <c r="D1073" s="32"/>
      <c r="E1073" s="32" t="s">
        <v>58</v>
      </c>
      <c r="F1073" s="66" t="s">
        <v>1134</v>
      </c>
      <c r="G1073" s="32"/>
      <c r="H1073" s="32" t="str">
        <f>IF(LEFT('PL1(Full)'!$F1073,4)="Thôn","Thôn","Tổ")</f>
        <v>Thôn</v>
      </c>
      <c r="I1073" s="35">
        <v>27</v>
      </c>
      <c r="J1073" s="35">
        <v>153</v>
      </c>
      <c r="K1073" s="35">
        <v>28</v>
      </c>
      <c r="L1073" s="37">
        <f t="shared" si="0"/>
        <v>103.70370370370371</v>
      </c>
      <c r="M1073" s="35">
        <v>10</v>
      </c>
      <c r="N1073" s="38">
        <f t="shared" si="1"/>
        <v>37.037037037037038</v>
      </c>
      <c r="O1073" s="35">
        <v>10</v>
      </c>
      <c r="P1073" s="38">
        <f t="shared" si="2"/>
        <v>100</v>
      </c>
      <c r="Q1073" s="88" t="s">
        <v>52</v>
      </c>
      <c r="R1073" s="88" t="str">
        <f t="shared" si="3"/>
        <v>C</v>
      </c>
      <c r="S1073" s="32" t="s">
        <v>60</v>
      </c>
      <c r="T1073" s="34" t="str">
        <f>IF('PL1(Full)'!$N1073&gt;=20,"x",IF(AND('PL1(Full)'!$N1073&gt;=15,'PL1(Full)'!$P1073&gt;60),"x",""))</f>
        <v>x</v>
      </c>
      <c r="U1073" s="34" t="str">
        <f>IF(AND('PL1(Full)'!$H1073="Thôn",'PL1(Full)'!$I1073&lt;75),"x",IF(AND('PL1(Full)'!$H1073="Tổ",'PL1(Full)'!$I1073&lt;100),"x","-"))</f>
        <v>x</v>
      </c>
      <c r="V1073" s="34" t="str">
        <f>IF(AND('PL1(Full)'!$H1073="Thôn",'PL1(Full)'!$I1073&lt;140),"x",IF(AND('PL1(Full)'!$H1073="Tổ",'PL1(Full)'!$I1073&lt;210),"x","-"))</f>
        <v>x</v>
      </c>
      <c r="W1073" s="40" t="str">
        <f t="shared" si="175"/>
        <v>Loại 3</v>
      </c>
      <c r="X1073" s="32"/>
    </row>
    <row r="1074" spans="1:24" ht="15.75" customHeight="1">
      <c r="A1074" s="30">
        <f>_xlfn.AGGREGATE(4,7,A$6:A1073)+1</f>
        <v>817</v>
      </c>
      <c r="B1074" s="54" t="str">
        <f t="shared" ref="B1074:C1074" si="188">B1073</f>
        <v>H. Pác Nặm</v>
      </c>
      <c r="C1074" s="54" t="str">
        <f t="shared" si="188"/>
        <v>X. An Thắng</v>
      </c>
      <c r="D1074" s="32"/>
      <c r="E1074" s="32" t="s">
        <v>58</v>
      </c>
      <c r="F1074" s="66" t="s">
        <v>1135</v>
      </c>
      <c r="G1074" s="32"/>
      <c r="H1074" s="32" t="str">
        <f>IF(LEFT('PL1(Full)'!$F1074,4)="Thôn","Thôn","Tổ")</f>
        <v>Thôn</v>
      </c>
      <c r="I1074" s="35">
        <v>68</v>
      </c>
      <c r="J1074" s="35">
        <v>371</v>
      </c>
      <c r="K1074" s="35">
        <v>64</v>
      </c>
      <c r="L1074" s="37">
        <f t="shared" si="0"/>
        <v>94.117647058823536</v>
      </c>
      <c r="M1074" s="35">
        <v>44</v>
      </c>
      <c r="N1074" s="38">
        <f t="shared" si="1"/>
        <v>64.705882352941174</v>
      </c>
      <c r="O1074" s="35">
        <v>44</v>
      </c>
      <c r="P1074" s="38">
        <f t="shared" si="2"/>
        <v>100</v>
      </c>
      <c r="Q1074" s="88" t="s">
        <v>63</v>
      </c>
      <c r="R1074" s="88" t="str">
        <f t="shared" si="3"/>
        <v>X</v>
      </c>
      <c r="S1074" s="32" t="s">
        <v>60</v>
      </c>
      <c r="T1074" s="34" t="str">
        <f>IF('PL1(Full)'!$N1074&gt;=20,"x",IF(AND('PL1(Full)'!$N1074&gt;=15,'PL1(Full)'!$P1074&gt;60),"x",""))</f>
        <v>x</v>
      </c>
      <c r="U1074" s="34" t="str">
        <f>IF(AND('PL1(Full)'!$H1074="Thôn",'PL1(Full)'!$I1074&lt;75),"x",IF(AND('PL1(Full)'!$H1074="Tổ",'PL1(Full)'!$I1074&lt;100),"x","-"))</f>
        <v>x</v>
      </c>
      <c r="V1074" s="34" t="str">
        <f>IF(AND('PL1(Full)'!$H1074="Thôn",'PL1(Full)'!$I1074&lt;140),"x",IF(AND('PL1(Full)'!$H1074="Tổ",'PL1(Full)'!$I1074&lt;210),"x","-"))</f>
        <v>x</v>
      </c>
      <c r="W1074" s="40" t="str">
        <f t="shared" si="175"/>
        <v>Loại 3</v>
      </c>
      <c r="X1074" s="32"/>
    </row>
    <row r="1075" spans="1:24" ht="15.75" customHeight="1">
      <c r="A1075" s="41">
        <f>_xlfn.AGGREGATE(4,7,A$6:A1074)+1</f>
        <v>818</v>
      </c>
      <c r="B1075" s="55" t="str">
        <f t="shared" ref="B1075:C1075" si="189">B1074</f>
        <v>H. Pác Nặm</v>
      </c>
      <c r="C1075" s="55" t="str">
        <f t="shared" si="189"/>
        <v>X. An Thắng</v>
      </c>
      <c r="D1075" s="43"/>
      <c r="E1075" s="43" t="s">
        <v>58</v>
      </c>
      <c r="F1075" s="67" t="s">
        <v>1136</v>
      </c>
      <c r="G1075" s="43"/>
      <c r="H1075" s="43" t="str">
        <f>IF(LEFT('PL1(Full)'!$F1075,4)="Thôn","Thôn","Tổ")</f>
        <v>Thôn</v>
      </c>
      <c r="I1075" s="45">
        <v>36</v>
      </c>
      <c r="J1075" s="45">
        <v>156</v>
      </c>
      <c r="K1075" s="45">
        <v>36</v>
      </c>
      <c r="L1075" s="47">
        <f t="shared" si="0"/>
        <v>100</v>
      </c>
      <c r="M1075" s="45">
        <v>14</v>
      </c>
      <c r="N1075" s="48">
        <f t="shared" si="1"/>
        <v>38.888888888888886</v>
      </c>
      <c r="O1075" s="45">
        <f t="shared" ref="O1075:O1091" si="190">M1075</f>
        <v>14</v>
      </c>
      <c r="P1075" s="48">
        <f t="shared" si="2"/>
        <v>100</v>
      </c>
      <c r="Q1075" s="89" t="s">
        <v>52</v>
      </c>
      <c r="R1075" s="89" t="str">
        <f t="shared" si="3"/>
        <v>C</v>
      </c>
      <c r="S1075" s="43" t="s">
        <v>60</v>
      </c>
      <c r="T1075" s="50" t="str">
        <f>IF('PL1(Full)'!$N1075&gt;=20,"x",IF(AND('PL1(Full)'!$N1075&gt;=15,'PL1(Full)'!$P1075&gt;60),"x",""))</f>
        <v>x</v>
      </c>
      <c r="U1075" s="50" t="str">
        <f>IF(AND('PL1(Full)'!$H1075="Thôn",'PL1(Full)'!$I1075&lt;75),"x",IF(AND('PL1(Full)'!$H1075="Tổ",'PL1(Full)'!$I1075&lt;100),"x","-"))</f>
        <v>x</v>
      </c>
      <c r="V1075" s="34" t="str">
        <f>IF(AND('PL1(Full)'!$H1075="Thôn",'PL1(Full)'!$I1075&lt;140),"x",IF(AND('PL1(Full)'!$H1075="Tổ",'PL1(Full)'!$I1075&lt;210),"x","-"))</f>
        <v>x</v>
      </c>
      <c r="W1075" s="51" t="str">
        <f t="shared" si="175"/>
        <v>Loại 3</v>
      </c>
      <c r="X1075" s="43"/>
    </row>
    <row r="1076" spans="1:24" ht="15.75" customHeight="1">
      <c r="A1076" s="52">
        <f>_xlfn.AGGREGATE(4,7,A$6:A1075)+1</f>
        <v>819</v>
      </c>
      <c r="B1076" s="53" t="str">
        <f t="shared" ref="B1076:B1181" si="191">B1075</f>
        <v>H. Pác Nặm</v>
      </c>
      <c r="C1076" s="14" t="s">
        <v>1137</v>
      </c>
      <c r="D1076" s="25" t="s">
        <v>58</v>
      </c>
      <c r="E1076" s="25" t="s">
        <v>58</v>
      </c>
      <c r="F1076" s="53" t="s">
        <v>1138</v>
      </c>
      <c r="G1076" s="25"/>
      <c r="H1076" s="25" t="str">
        <f>IF(LEFT('PL1(Full)'!$F1076,4)="Thôn","Thôn","Tổ")</f>
        <v>Thôn</v>
      </c>
      <c r="I1076" s="20">
        <v>54</v>
      </c>
      <c r="J1076" s="20">
        <v>273</v>
      </c>
      <c r="K1076" s="20">
        <v>54</v>
      </c>
      <c r="L1076" s="21">
        <f t="shared" si="0"/>
        <v>100</v>
      </c>
      <c r="M1076" s="20">
        <v>9</v>
      </c>
      <c r="N1076" s="22">
        <f t="shared" si="1"/>
        <v>16.666666666666668</v>
      </c>
      <c r="O1076" s="35">
        <f t="shared" si="190"/>
        <v>9</v>
      </c>
      <c r="P1076" s="22">
        <f t="shared" si="2"/>
        <v>100</v>
      </c>
      <c r="Q1076" s="23" t="s">
        <v>56</v>
      </c>
      <c r="R1076" s="24" t="str">
        <f t="shared" si="3"/>
        <v>X</v>
      </c>
      <c r="S1076" s="25"/>
      <c r="T1076" s="26" t="str">
        <f>IF('PL1(Full)'!$N1076&gt;=20,"x",IF(AND('PL1(Full)'!$N1076&gt;=15,'PL1(Full)'!$P1076&gt;60),"x",""))</f>
        <v>x</v>
      </c>
      <c r="U1076" s="27" t="str">
        <f>IF(AND('PL1(Full)'!$H1076="Thôn",'PL1(Full)'!$I1076&lt;75),"x",IF(AND('PL1(Full)'!$H1076="Tổ",'PL1(Full)'!$I1076&lt;100),"x","-"))</f>
        <v>x</v>
      </c>
      <c r="V1076" s="28" t="str">
        <f>IF(AND('PL1(Full)'!$H1076="Thôn",'PL1(Full)'!$I1076&lt;140),"x",IF(AND('PL1(Full)'!$H1076="Tổ",'PL1(Full)'!$I1076&lt;210),"x","-"))</f>
        <v>x</v>
      </c>
      <c r="W1076" s="29" t="str">
        <f t="shared" si="175"/>
        <v>Loại 3</v>
      </c>
      <c r="X1076" s="25"/>
    </row>
    <row r="1077" spans="1:24" ht="15.75" customHeight="1">
      <c r="A1077" s="30">
        <f>_xlfn.AGGREGATE(4,7,A$6:A1076)+1</f>
        <v>820</v>
      </c>
      <c r="B1077" s="54" t="str">
        <f t="shared" si="191"/>
        <v>H. Pác Nặm</v>
      </c>
      <c r="C1077" s="31" t="str">
        <f t="shared" ref="C1077:C1091" si="192">C1076</f>
        <v>X. Bằng Thành</v>
      </c>
      <c r="D1077" s="34"/>
      <c r="E1077" s="34" t="s">
        <v>58</v>
      </c>
      <c r="F1077" s="54" t="s">
        <v>1139</v>
      </c>
      <c r="G1077" s="34"/>
      <c r="H1077" s="34" t="str">
        <f>IF(LEFT('PL1(Full)'!$F1077,4)="Thôn","Thôn","Tổ")</f>
        <v>Thôn</v>
      </c>
      <c r="I1077" s="36">
        <v>56</v>
      </c>
      <c r="J1077" s="36">
        <v>261</v>
      </c>
      <c r="K1077" s="36">
        <v>56</v>
      </c>
      <c r="L1077" s="37">
        <f t="shared" si="0"/>
        <v>100</v>
      </c>
      <c r="M1077" s="36">
        <v>5</v>
      </c>
      <c r="N1077" s="38">
        <f t="shared" si="1"/>
        <v>8.9285714285714288</v>
      </c>
      <c r="O1077" s="35">
        <f t="shared" si="190"/>
        <v>5</v>
      </c>
      <c r="P1077" s="38">
        <f t="shared" si="2"/>
        <v>100</v>
      </c>
      <c r="Q1077" s="39" t="s">
        <v>56</v>
      </c>
      <c r="R1077" s="39" t="str">
        <f t="shared" si="3"/>
        <v>X</v>
      </c>
      <c r="S1077" s="34"/>
      <c r="T1077" s="34" t="str">
        <f>IF('PL1(Full)'!$N1077&gt;=20,"x",IF(AND('PL1(Full)'!$N1077&gt;=15,'PL1(Full)'!$P1077&gt;60),"x",""))</f>
        <v/>
      </c>
      <c r="U1077" s="34" t="str">
        <f>IF(AND('PL1(Full)'!$H1077="Thôn",'PL1(Full)'!$I1077&lt;75),"x",IF(AND('PL1(Full)'!$H1077="Tổ",'PL1(Full)'!$I1077&lt;100),"x","-"))</f>
        <v>x</v>
      </c>
      <c r="V1077" s="34" t="str">
        <f>IF(AND('PL1(Full)'!$H1077="Thôn",'PL1(Full)'!$I1077&lt;140),"x",IF(AND('PL1(Full)'!$H1077="Tổ",'PL1(Full)'!$I1077&lt;210),"x","-"))</f>
        <v>x</v>
      </c>
      <c r="W1077" s="40" t="str">
        <f t="shared" si="175"/>
        <v>Loại 3</v>
      </c>
      <c r="X1077" s="34"/>
    </row>
    <row r="1078" spans="1:24" ht="15.75" customHeight="1">
      <c r="A1078" s="30">
        <f>_xlfn.AGGREGATE(4,7,A$6:A1077)+1</f>
        <v>821</v>
      </c>
      <c r="B1078" s="54" t="str">
        <f t="shared" si="191"/>
        <v>H. Pác Nặm</v>
      </c>
      <c r="C1078" s="31" t="str">
        <f t="shared" si="192"/>
        <v>X. Bằng Thành</v>
      </c>
      <c r="D1078" s="34"/>
      <c r="E1078" s="34" t="s">
        <v>58</v>
      </c>
      <c r="F1078" s="54" t="s">
        <v>1140</v>
      </c>
      <c r="G1078" s="34"/>
      <c r="H1078" s="34" t="str">
        <f>IF(LEFT('PL1(Full)'!$F1078,4)="Thôn","Thôn","Tổ")</f>
        <v>Thôn</v>
      </c>
      <c r="I1078" s="36">
        <v>56</v>
      </c>
      <c r="J1078" s="36">
        <v>299</v>
      </c>
      <c r="K1078" s="36">
        <v>56</v>
      </c>
      <c r="L1078" s="37">
        <f t="shared" si="0"/>
        <v>100</v>
      </c>
      <c r="M1078" s="36">
        <v>36</v>
      </c>
      <c r="N1078" s="38">
        <f t="shared" si="1"/>
        <v>64.285714285714292</v>
      </c>
      <c r="O1078" s="35">
        <f t="shared" si="190"/>
        <v>36</v>
      </c>
      <c r="P1078" s="38">
        <f t="shared" si="2"/>
        <v>100</v>
      </c>
      <c r="Q1078" s="39" t="s">
        <v>56</v>
      </c>
      <c r="R1078" s="39" t="str">
        <f t="shared" si="3"/>
        <v>X</v>
      </c>
      <c r="S1078" s="34" t="s">
        <v>60</v>
      </c>
      <c r="T1078" s="34" t="str">
        <f>IF('PL1(Full)'!$N1078&gt;=20,"x",IF(AND('PL1(Full)'!$N1078&gt;=15,'PL1(Full)'!$P1078&gt;60),"x",""))</f>
        <v>x</v>
      </c>
      <c r="U1078" s="34" t="str">
        <f>IF(AND('PL1(Full)'!$H1078="Thôn",'PL1(Full)'!$I1078&lt;75),"x",IF(AND('PL1(Full)'!$H1078="Tổ",'PL1(Full)'!$I1078&lt;100),"x","-"))</f>
        <v>x</v>
      </c>
      <c r="V1078" s="34" t="str">
        <f>IF(AND('PL1(Full)'!$H1078="Thôn",'PL1(Full)'!$I1078&lt;140),"x",IF(AND('PL1(Full)'!$H1078="Tổ",'PL1(Full)'!$I1078&lt;210),"x","-"))</f>
        <v>x</v>
      </c>
      <c r="W1078" s="40" t="str">
        <f t="shared" si="175"/>
        <v>Loại 3</v>
      </c>
      <c r="X1078" s="34"/>
    </row>
    <row r="1079" spans="1:24" ht="15.75" customHeight="1">
      <c r="A1079" s="30">
        <f>_xlfn.AGGREGATE(4,7,A$6:A1078)+1</f>
        <v>822</v>
      </c>
      <c r="B1079" s="54" t="str">
        <f t="shared" si="191"/>
        <v>H. Pác Nặm</v>
      </c>
      <c r="C1079" s="31" t="str">
        <f t="shared" si="192"/>
        <v>X. Bằng Thành</v>
      </c>
      <c r="D1079" s="34"/>
      <c r="E1079" s="34" t="s">
        <v>58</v>
      </c>
      <c r="F1079" s="54" t="s">
        <v>1141</v>
      </c>
      <c r="G1079" s="34"/>
      <c r="H1079" s="34" t="str">
        <f>IF(LEFT('PL1(Full)'!$F1079,4)="Thôn","Thôn","Tổ")</f>
        <v>Thôn</v>
      </c>
      <c r="I1079" s="36">
        <v>74</v>
      </c>
      <c r="J1079" s="36">
        <v>403</v>
      </c>
      <c r="K1079" s="36">
        <v>74</v>
      </c>
      <c r="L1079" s="37">
        <f t="shared" si="0"/>
        <v>100</v>
      </c>
      <c r="M1079" s="36">
        <v>59</v>
      </c>
      <c r="N1079" s="38">
        <f t="shared" si="1"/>
        <v>79.729729729729726</v>
      </c>
      <c r="O1079" s="35">
        <f t="shared" si="190"/>
        <v>59</v>
      </c>
      <c r="P1079" s="38">
        <f t="shared" si="2"/>
        <v>100</v>
      </c>
      <c r="Q1079" s="39" t="s">
        <v>56</v>
      </c>
      <c r="R1079" s="39" t="str">
        <f t="shared" si="3"/>
        <v>X</v>
      </c>
      <c r="S1079" s="34" t="s">
        <v>60</v>
      </c>
      <c r="T1079" s="34" t="str">
        <f>IF('PL1(Full)'!$N1079&gt;=20,"x",IF(AND('PL1(Full)'!$N1079&gt;=15,'PL1(Full)'!$P1079&gt;60),"x",""))</f>
        <v>x</v>
      </c>
      <c r="U1079" s="34" t="str">
        <f>IF(AND('PL1(Full)'!$H1079="Thôn",'PL1(Full)'!$I1079&lt;75),"x",IF(AND('PL1(Full)'!$H1079="Tổ",'PL1(Full)'!$I1079&lt;100),"x","-"))</f>
        <v>x</v>
      </c>
      <c r="V1079" s="34" t="str">
        <f>IF(AND('PL1(Full)'!$H1079="Thôn",'PL1(Full)'!$I1079&lt;140),"x",IF(AND('PL1(Full)'!$H1079="Tổ",'PL1(Full)'!$I1079&lt;210),"x","-"))</f>
        <v>x</v>
      </c>
      <c r="W1079" s="40" t="str">
        <f t="shared" si="175"/>
        <v>Loại 3</v>
      </c>
      <c r="X1079" s="34"/>
    </row>
    <row r="1080" spans="1:24" ht="15.75" customHeight="1">
      <c r="A1080" s="30">
        <f>_xlfn.AGGREGATE(4,7,A$6:A1079)+1</f>
        <v>823</v>
      </c>
      <c r="B1080" s="54" t="str">
        <f t="shared" si="191"/>
        <v>H. Pác Nặm</v>
      </c>
      <c r="C1080" s="31" t="str">
        <f t="shared" si="192"/>
        <v>X. Bằng Thành</v>
      </c>
      <c r="D1080" s="34"/>
      <c r="E1080" s="34" t="s">
        <v>58</v>
      </c>
      <c r="F1080" s="54" t="s">
        <v>1142</v>
      </c>
      <c r="G1080" s="34"/>
      <c r="H1080" s="34" t="str">
        <f>IF(LEFT('PL1(Full)'!$F1080,4)="Thôn","Thôn","Tổ")</f>
        <v>Thôn</v>
      </c>
      <c r="I1080" s="36">
        <v>34</v>
      </c>
      <c r="J1080" s="36">
        <v>205</v>
      </c>
      <c r="K1080" s="36">
        <v>34</v>
      </c>
      <c r="L1080" s="37">
        <f t="shared" si="0"/>
        <v>100</v>
      </c>
      <c r="M1080" s="36">
        <v>30</v>
      </c>
      <c r="N1080" s="38">
        <f t="shared" si="1"/>
        <v>88.235294117647058</v>
      </c>
      <c r="O1080" s="35">
        <f t="shared" si="190"/>
        <v>30</v>
      </c>
      <c r="P1080" s="38">
        <f t="shared" si="2"/>
        <v>100</v>
      </c>
      <c r="Q1080" s="39" t="s">
        <v>82</v>
      </c>
      <c r="R1080" s="39" t="str">
        <f t="shared" si="3"/>
        <v>X</v>
      </c>
      <c r="S1080" s="34" t="s">
        <v>60</v>
      </c>
      <c r="T1080" s="34" t="str">
        <f>IF('PL1(Full)'!$N1080&gt;=20,"x",IF(AND('PL1(Full)'!$N1080&gt;=15,'PL1(Full)'!$P1080&gt;60),"x",""))</f>
        <v>x</v>
      </c>
      <c r="U1080" s="34" t="str">
        <f>IF(AND('PL1(Full)'!$H1080="Thôn",'PL1(Full)'!$I1080&lt;75),"x",IF(AND('PL1(Full)'!$H1080="Tổ",'PL1(Full)'!$I1080&lt;100),"x","-"))</f>
        <v>x</v>
      </c>
      <c r="V1080" s="34" t="str">
        <f>IF(AND('PL1(Full)'!$H1080="Thôn",'PL1(Full)'!$I1080&lt;140),"x",IF(AND('PL1(Full)'!$H1080="Tổ",'PL1(Full)'!$I1080&lt;210),"x","-"))</f>
        <v>x</v>
      </c>
      <c r="W1080" s="40" t="str">
        <f t="shared" si="175"/>
        <v>Loại 3</v>
      </c>
      <c r="X1080" s="34"/>
    </row>
    <row r="1081" spans="1:24" ht="15.75" customHeight="1">
      <c r="A1081" s="30">
        <f>_xlfn.AGGREGATE(4,7,A$6:A1080)+1</f>
        <v>824</v>
      </c>
      <c r="B1081" s="54" t="str">
        <f t="shared" si="191"/>
        <v>H. Pác Nặm</v>
      </c>
      <c r="C1081" s="31" t="str">
        <f t="shared" si="192"/>
        <v>X. Bằng Thành</v>
      </c>
      <c r="D1081" s="34"/>
      <c r="E1081" s="34" t="s">
        <v>58</v>
      </c>
      <c r="F1081" s="54" t="s">
        <v>1143</v>
      </c>
      <c r="G1081" s="34"/>
      <c r="H1081" s="34" t="str">
        <f>IF(LEFT('PL1(Full)'!$F1081,4)="Thôn","Thôn","Tổ")</f>
        <v>Thôn</v>
      </c>
      <c r="I1081" s="36">
        <v>42</v>
      </c>
      <c r="J1081" s="36">
        <v>200</v>
      </c>
      <c r="K1081" s="36">
        <v>42</v>
      </c>
      <c r="L1081" s="37">
        <f t="shared" si="0"/>
        <v>100</v>
      </c>
      <c r="M1081" s="36">
        <v>3</v>
      </c>
      <c r="N1081" s="38">
        <f t="shared" si="1"/>
        <v>7.1428571428571432</v>
      </c>
      <c r="O1081" s="35">
        <f t="shared" si="190"/>
        <v>3</v>
      </c>
      <c r="P1081" s="38">
        <f t="shared" si="2"/>
        <v>100</v>
      </c>
      <c r="Q1081" s="39" t="s">
        <v>56</v>
      </c>
      <c r="R1081" s="39" t="str">
        <f t="shared" si="3"/>
        <v>X</v>
      </c>
      <c r="S1081" s="34"/>
      <c r="T1081" s="34" t="str">
        <f>IF('PL1(Full)'!$N1081&gt;=20,"x",IF(AND('PL1(Full)'!$N1081&gt;=15,'PL1(Full)'!$P1081&gt;60),"x",""))</f>
        <v/>
      </c>
      <c r="U1081" s="34" t="str">
        <f>IF(AND('PL1(Full)'!$H1081="Thôn",'PL1(Full)'!$I1081&lt;75),"x",IF(AND('PL1(Full)'!$H1081="Tổ",'PL1(Full)'!$I1081&lt;100),"x","-"))</f>
        <v>x</v>
      </c>
      <c r="V1081" s="34" t="str">
        <f>IF(AND('PL1(Full)'!$H1081="Thôn",'PL1(Full)'!$I1081&lt;140),"x",IF(AND('PL1(Full)'!$H1081="Tổ",'PL1(Full)'!$I1081&lt;210),"x","-"))</f>
        <v>x</v>
      </c>
      <c r="W1081" s="40" t="str">
        <f t="shared" si="175"/>
        <v>Loại 3</v>
      </c>
      <c r="X1081" s="34"/>
    </row>
    <row r="1082" spans="1:24" ht="15.75" customHeight="1">
      <c r="A1082" s="30">
        <f>_xlfn.AGGREGATE(4,7,A$6:A1081)+1</f>
        <v>825</v>
      </c>
      <c r="B1082" s="54" t="str">
        <f t="shared" si="191"/>
        <v>H. Pác Nặm</v>
      </c>
      <c r="C1082" s="31" t="str">
        <f t="shared" si="192"/>
        <v>X. Bằng Thành</v>
      </c>
      <c r="D1082" s="34"/>
      <c r="E1082" s="34" t="s">
        <v>58</v>
      </c>
      <c r="F1082" s="54" t="s">
        <v>155</v>
      </c>
      <c r="G1082" s="34"/>
      <c r="H1082" s="34" t="str">
        <f>IF(LEFT('PL1(Full)'!$F1082,4)="Thôn","Thôn","Tổ")</f>
        <v>Thôn</v>
      </c>
      <c r="I1082" s="36">
        <v>30</v>
      </c>
      <c r="J1082" s="36">
        <v>149</v>
      </c>
      <c r="K1082" s="36">
        <v>30</v>
      </c>
      <c r="L1082" s="37">
        <f t="shared" si="0"/>
        <v>100</v>
      </c>
      <c r="M1082" s="36">
        <v>28</v>
      </c>
      <c r="N1082" s="38">
        <f t="shared" si="1"/>
        <v>93.333333333333329</v>
      </c>
      <c r="O1082" s="35">
        <f t="shared" si="190"/>
        <v>28</v>
      </c>
      <c r="P1082" s="38">
        <f t="shared" si="2"/>
        <v>100</v>
      </c>
      <c r="Q1082" s="39" t="s">
        <v>52</v>
      </c>
      <c r="R1082" s="39" t="str">
        <f t="shared" si="3"/>
        <v>C</v>
      </c>
      <c r="S1082" s="34" t="s">
        <v>60</v>
      </c>
      <c r="T1082" s="34" t="str">
        <f>IF('PL1(Full)'!$N1082&gt;=20,"x",IF(AND('PL1(Full)'!$N1082&gt;=15,'PL1(Full)'!$P1082&gt;60),"x",""))</f>
        <v>x</v>
      </c>
      <c r="U1082" s="34" t="str">
        <f>IF(AND('PL1(Full)'!$H1082="Thôn",'PL1(Full)'!$I1082&lt;75),"x",IF(AND('PL1(Full)'!$H1082="Tổ",'PL1(Full)'!$I1082&lt;100),"x","-"))</f>
        <v>x</v>
      </c>
      <c r="V1082" s="34" t="str">
        <f>IF(AND('PL1(Full)'!$H1082="Thôn",'PL1(Full)'!$I1082&lt;140),"x",IF(AND('PL1(Full)'!$H1082="Tổ",'PL1(Full)'!$I1082&lt;210),"x","-"))</f>
        <v>x</v>
      </c>
      <c r="W1082" s="40" t="str">
        <f t="shared" si="175"/>
        <v>Loại 3</v>
      </c>
      <c r="X1082" s="34"/>
    </row>
    <row r="1083" spans="1:24" ht="15.75" hidden="1" customHeight="1">
      <c r="A1083" s="30">
        <f>_xlfn.AGGREGATE(4,7,A$6:A1082)+1</f>
        <v>826</v>
      </c>
      <c r="B1083" s="54" t="str">
        <f t="shared" si="191"/>
        <v>H. Pác Nặm</v>
      </c>
      <c r="C1083" s="31" t="str">
        <f t="shared" si="192"/>
        <v>X. Bằng Thành</v>
      </c>
      <c r="D1083" s="34"/>
      <c r="E1083" s="34" t="s">
        <v>58</v>
      </c>
      <c r="F1083" s="54" t="s">
        <v>1144</v>
      </c>
      <c r="G1083" s="34"/>
      <c r="H1083" s="34" t="str">
        <f>IF(LEFT('PL1(Full)'!$F1083,4)="Thôn","Thôn","Tổ")</f>
        <v>Thôn</v>
      </c>
      <c r="I1083" s="36">
        <v>95</v>
      </c>
      <c r="J1083" s="36">
        <v>514</v>
      </c>
      <c r="K1083" s="36">
        <v>95</v>
      </c>
      <c r="L1083" s="37">
        <f t="shared" si="0"/>
        <v>100</v>
      </c>
      <c r="M1083" s="36">
        <v>81</v>
      </c>
      <c r="N1083" s="38">
        <f t="shared" si="1"/>
        <v>85.263157894736835</v>
      </c>
      <c r="O1083" s="35">
        <f t="shared" si="190"/>
        <v>81</v>
      </c>
      <c r="P1083" s="38">
        <f t="shared" si="2"/>
        <v>100</v>
      </c>
      <c r="Q1083" s="39" t="s">
        <v>56</v>
      </c>
      <c r="R1083" s="39" t="str">
        <f t="shared" si="3"/>
        <v>X</v>
      </c>
      <c r="S1083" s="34" t="s">
        <v>60</v>
      </c>
      <c r="T1083" s="34" t="str">
        <f>IF('PL1(Full)'!$N1083&gt;=20,"x",IF(AND('PL1(Full)'!$N1083&gt;=15,'PL1(Full)'!$P1083&gt;60),"x",""))</f>
        <v>x</v>
      </c>
      <c r="U1083" s="34" t="str">
        <f>IF(AND('PL1(Full)'!$H1083="Thôn",'PL1(Full)'!$I1083&lt;75),"x",IF(AND('PL1(Full)'!$H1083="Tổ",'PL1(Full)'!$I1083&lt;100),"x","-"))</f>
        <v>-</v>
      </c>
      <c r="V1083" s="34" t="str">
        <f>IF(AND('PL1(Full)'!$H1083="Thôn",'PL1(Full)'!$I1083&lt;140),"x",IF(AND('PL1(Full)'!$H1083="Tổ",'PL1(Full)'!$I1083&lt;210),"x","-"))</f>
        <v>x</v>
      </c>
      <c r="W1083" s="40" t="str">
        <f t="shared" si="175"/>
        <v>Loại 3</v>
      </c>
      <c r="X1083" s="34"/>
    </row>
    <row r="1084" spans="1:24" ht="15.75" customHeight="1">
      <c r="A1084" s="30">
        <f>_xlfn.AGGREGATE(4,7,A$6:A1083)+1</f>
        <v>826</v>
      </c>
      <c r="B1084" s="54" t="str">
        <f t="shared" si="191"/>
        <v>H. Pác Nặm</v>
      </c>
      <c r="C1084" s="31" t="str">
        <f t="shared" si="192"/>
        <v>X. Bằng Thành</v>
      </c>
      <c r="D1084" s="34"/>
      <c r="E1084" s="34" t="s">
        <v>58</v>
      </c>
      <c r="F1084" s="54" t="s">
        <v>1145</v>
      </c>
      <c r="G1084" s="34"/>
      <c r="H1084" s="34" t="str">
        <f>IF(LEFT('PL1(Full)'!$F1084,4)="Thôn","Thôn","Tổ")</f>
        <v>Thôn</v>
      </c>
      <c r="I1084" s="36">
        <v>43</v>
      </c>
      <c r="J1084" s="36">
        <v>228</v>
      </c>
      <c r="K1084" s="36">
        <v>43</v>
      </c>
      <c r="L1084" s="37">
        <f t="shared" si="0"/>
        <v>100</v>
      </c>
      <c r="M1084" s="36">
        <v>38</v>
      </c>
      <c r="N1084" s="38">
        <f t="shared" si="1"/>
        <v>88.372093023255815</v>
      </c>
      <c r="O1084" s="35">
        <f t="shared" si="190"/>
        <v>38</v>
      </c>
      <c r="P1084" s="38">
        <f t="shared" si="2"/>
        <v>100</v>
      </c>
      <c r="Q1084" s="39" t="s">
        <v>52</v>
      </c>
      <c r="R1084" s="39" t="str">
        <f t="shared" si="3"/>
        <v>C</v>
      </c>
      <c r="S1084" s="34" t="s">
        <v>60</v>
      </c>
      <c r="T1084" s="34" t="str">
        <f>IF('PL1(Full)'!$N1084&gt;=20,"x",IF(AND('PL1(Full)'!$N1084&gt;=15,'PL1(Full)'!$P1084&gt;60),"x",""))</f>
        <v>x</v>
      </c>
      <c r="U1084" s="34" t="str">
        <f>IF(AND('PL1(Full)'!$H1084="Thôn",'PL1(Full)'!$I1084&lt;75),"x",IF(AND('PL1(Full)'!$H1084="Tổ",'PL1(Full)'!$I1084&lt;100),"x","-"))</f>
        <v>x</v>
      </c>
      <c r="V1084" s="34" t="str">
        <f>IF(AND('PL1(Full)'!$H1084="Thôn",'PL1(Full)'!$I1084&lt;140),"x",IF(AND('PL1(Full)'!$H1084="Tổ",'PL1(Full)'!$I1084&lt;210),"x","-"))</f>
        <v>x</v>
      </c>
      <c r="W1084" s="40" t="str">
        <f t="shared" si="175"/>
        <v>Loại 3</v>
      </c>
      <c r="X1084" s="34"/>
    </row>
    <row r="1085" spans="1:24" ht="15.75" customHeight="1">
      <c r="A1085" s="30">
        <f>_xlfn.AGGREGATE(4,7,A$6:A1084)+1</f>
        <v>827</v>
      </c>
      <c r="B1085" s="54" t="str">
        <f t="shared" si="191"/>
        <v>H. Pác Nặm</v>
      </c>
      <c r="C1085" s="31" t="str">
        <f t="shared" si="192"/>
        <v>X. Bằng Thành</v>
      </c>
      <c r="D1085" s="34"/>
      <c r="E1085" s="34" t="s">
        <v>58</v>
      </c>
      <c r="F1085" s="54" t="s">
        <v>1146</v>
      </c>
      <c r="G1085" s="34"/>
      <c r="H1085" s="34" t="str">
        <f>IF(LEFT('PL1(Full)'!$F1085,4)="Thôn","Thôn","Tổ")</f>
        <v>Thôn</v>
      </c>
      <c r="I1085" s="36">
        <v>58</v>
      </c>
      <c r="J1085" s="36">
        <v>323</v>
      </c>
      <c r="K1085" s="36">
        <v>58</v>
      </c>
      <c r="L1085" s="37">
        <f t="shared" si="0"/>
        <v>100</v>
      </c>
      <c r="M1085" s="36">
        <v>53</v>
      </c>
      <c r="N1085" s="38">
        <f t="shared" si="1"/>
        <v>91.379310344827587</v>
      </c>
      <c r="O1085" s="35">
        <f t="shared" si="190"/>
        <v>53</v>
      </c>
      <c r="P1085" s="38">
        <f t="shared" si="2"/>
        <v>100</v>
      </c>
      <c r="Q1085" s="39" t="s">
        <v>56</v>
      </c>
      <c r="R1085" s="39" t="str">
        <f t="shared" si="3"/>
        <v>X</v>
      </c>
      <c r="S1085" s="34" t="s">
        <v>60</v>
      </c>
      <c r="T1085" s="34" t="str">
        <f>IF('PL1(Full)'!$N1085&gt;=20,"x",IF(AND('PL1(Full)'!$N1085&gt;=15,'PL1(Full)'!$P1085&gt;60),"x",""))</f>
        <v>x</v>
      </c>
      <c r="U1085" s="34" t="str">
        <f>IF(AND('PL1(Full)'!$H1085="Thôn",'PL1(Full)'!$I1085&lt;75),"x",IF(AND('PL1(Full)'!$H1085="Tổ",'PL1(Full)'!$I1085&lt;100),"x","-"))</f>
        <v>x</v>
      </c>
      <c r="V1085" s="34" t="str">
        <f>IF(AND('PL1(Full)'!$H1085="Thôn",'PL1(Full)'!$I1085&lt;140),"x",IF(AND('PL1(Full)'!$H1085="Tổ",'PL1(Full)'!$I1085&lt;210),"x","-"))</f>
        <v>x</v>
      </c>
      <c r="W1085" s="40" t="str">
        <f t="shared" si="175"/>
        <v>Loại 3</v>
      </c>
      <c r="X1085" s="34"/>
    </row>
    <row r="1086" spans="1:24" ht="15.75" customHeight="1">
      <c r="A1086" s="30">
        <f>_xlfn.AGGREGATE(4,7,A$6:A1085)+1</f>
        <v>828</v>
      </c>
      <c r="B1086" s="54" t="str">
        <f t="shared" si="191"/>
        <v>H. Pác Nặm</v>
      </c>
      <c r="C1086" s="31" t="str">
        <f t="shared" si="192"/>
        <v>X. Bằng Thành</v>
      </c>
      <c r="D1086" s="34"/>
      <c r="E1086" s="34" t="s">
        <v>58</v>
      </c>
      <c r="F1086" s="54" t="s">
        <v>119</v>
      </c>
      <c r="G1086" s="34"/>
      <c r="H1086" s="34" t="str">
        <f>IF(LEFT('PL1(Full)'!$F1086,4)="Thôn","Thôn","Tổ")</f>
        <v>Thôn</v>
      </c>
      <c r="I1086" s="36">
        <v>47</v>
      </c>
      <c r="J1086" s="36">
        <v>245</v>
      </c>
      <c r="K1086" s="36">
        <v>47</v>
      </c>
      <c r="L1086" s="37">
        <f t="shared" si="0"/>
        <v>100</v>
      </c>
      <c r="M1086" s="36">
        <v>26</v>
      </c>
      <c r="N1086" s="38">
        <f t="shared" si="1"/>
        <v>55.319148936170215</v>
      </c>
      <c r="O1086" s="35">
        <f t="shared" si="190"/>
        <v>26</v>
      </c>
      <c r="P1086" s="38">
        <f t="shared" si="2"/>
        <v>100</v>
      </c>
      <c r="Q1086" s="39" t="s">
        <v>82</v>
      </c>
      <c r="R1086" s="39" t="str">
        <f t="shared" si="3"/>
        <v>X</v>
      </c>
      <c r="S1086" s="34" t="s">
        <v>60</v>
      </c>
      <c r="T1086" s="34" t="str">
        <f>IF('PL1(Full)'!$N1086&gt;=20,"x",IF(AND('PL1(Full)'!$N1086&gt;=15,'PL1(Full)'!$P1086&gt;60),"x",""))</f>
        <v>x</v>
      </c>
      <c r="U1086" s="34" t="str">
        <f>IF(AND('PL1(Full)'!$H1086="Thôn",'PL1(Full)'!$I1086&lt;75),"x",IF(AND('PL1(Full)'!$H1086="Tổ",'PL1(Full)'!$I1086&lt;100),"x","-"))</f>
        <v>x</v>
      </c>
      <c r="V1086" s="34" t="str">
        <f>IF(AND('PL1(Full)'!$H1086="Thôn",'PL1(Full)'!$I1086&lt;140),"x",IF(AND('PL1(Full)'!$H1086="Tổ",'PL1(Full)'!$I1086&lt;210),"x","-"))</f>
        <v>x</v>
      </c>
      <c r="W1086" s="40" t="str">
        <f t="shared" si="175"/>
        <v>Loại 3</v>
      </c>
      <c r="X1086" s="34"/>
    </row>
    <row r="1087" spans="1:24" ht="15.75" customHeight="1">
      <c r="A1087" s="30">
        <f>_xlfn.AGGREGATE(4,7,A$6:A1086)+1</f>
        <v>829</v>
      </c>
      <c r="B1087" s="54" t="str">
        <f t="shared" si="191"/>
        <v>H. Pác Nặm</v>
      </c>
      <c r="C1087" s="31" t="str">
        <f t="shared" si="192"/>
        <v>X. Bằng Thành</v>
      </c>
      <c r="D1087" s="34"/>
      <c r="E1087" s="34" t="s">
        <v>58</v>
      </c>
      <c r="F1087" s="54" t="s">
        <v>483</v>
      </c>
      <c r="G1087" s="34"/>
      <c r="H1087" s="34" t="str">
        <f>IF(LEFT('PL1(Full)'!$F1087,4)="Thôn","Thôn","Tổ")</f>
        <v>Thôn</v>
      </c>
      <c r="I1087" s="36">
        <v>50</v>
      </c>
      <c r="J1087" s="36">
        <v>262</v>
      </c>
      <c r="K1087" s="36">
        <v>50</v>
      </c>
      <c r="L1087" s="37">
        <f t="shared" si="0"/>
        <v>100</v>
      </c>
      <c r="M1087" s="36">
        <v>8</v>
      </c>
      <c r="N1087" s="38">
        <f t="shared" si="1"/>
        <v>16</v>
      </c>
      <c r="O1087" s="35">
        <f t="shared" si="190"/>
        <v>8</v>
      </c>
      <c r="P1087" s="38">
        <f t="shared" si="2"/>
        <v>100</v>
      </c>
      <c r="Q1087" s="39" t="s">
        <v>82</v>
      </c>
      <c r="R1087" s="39" t="str">
        <f t="shared" si="3"/>
        <v>X</v>
      </c>
      <c r="S1087" s="34"/>
      <c r="T1087" s="34" t="str">
        <f>IF('PL1(Full)'!$N1087&gt;=20,"x",IF(AND('PL1(Full)'!$N1087&gt;=15,'PL1(Full)'!$P1087&gt;60),"x",""))</f>
        <v>x</v>
      </c>
      <c r="U1087" s="34" t="str">
        <f>IF(AND('PL1(Full)'!$H1087="Thôn",'PL1(Full)'!$I1087&lt;75),"x",IF(AND('PL1(Full)'!$H1087="Tổ",'PL1(Full)'!$I1087&lt;100),"x","-"))</f>
        <v>x</v>
      </c>
      <c r="V1087" s="34" t="str">
        <f>IF(AND('PL1(Full)'!$H1087="Thôn",'PL1(Full)'!$I1087&lt;140),"x",IF(AND('PL1(Full)'!$H1087="Tổ",'PL1(Full)'!$I1087&lt;210),"x","-"))</f>
        <v>x</v>
      </c>
      <c r="W1087" s="40" t="str">
        <f t="shared" si="175"/>
        <v>Loại 3</v>
      </c>
      <c r="X1087" s="34"/>
    </row>
    <row r="1088" spans="1:24" ht="15.75" customHeight="1">
      <c r="A1088" s="30">
        <f>_xlfn.AGGREGATE(4,7,A$6:A1087)+1</f>
        <v>830</v>
      </c>
      <c r="B1088" s="54" t="str">
        <f t="shared" si="191"/>
        <v>H. Pác Nặm</v>
      </c>
      <c r="C1088" s="31" t="str">
        <f t="shared" si="192"/>
        <v>X. Bằng Thành</v>
      </c>
      <c r="D1088" s="34"/>
      <c r="E1088" s="34" t="s">
        <v>58</v>
      </c>
      <c r="F1088" s="54" t="s">
        <v>138</v>
      </c>
      <c r="G1088" s="34"/>
      <c r="H1088" s="34" t="str">
        <f>IF(LEFT('PL1(Full)'!$F1088,4)="Thôn","Thôn","Tổ")</f>
        <v>Thôn</v>
      </c>
      <c r="I1088" s="36">
        <v>40</v>
      </c>
      <c r="J1088" s="36">
        <v>209</v>
      </c>
      <c r="K1088" s="36">
        <v>40</v>
      </c>
      <c r="L1088" s="37">
        <f t="shared" si="0"/>
        <v>100</v>
      </c>
      <c r="M1088" s="36">
        <v>5</v>
      </c>
      <c r="N1088" s="38">
        <f t="shared" si="1"/>
        <v>12.5</v>
      </c>
      <c r="O1088" s="35">
        <f t="shared" si="190"/>
        <v>5</v>
      </c>
      <c r="P1088" s="38">
        <f t="shared" si="2"/>
        <v>100</v>
      </c>
      <c r="Q1088" s="39" t="s">
        <v>56</v>
      </c>
      <c r="R1088" s="39" t="str">
        <f t="shared" si="3"/>
        <v>X</v>
      </c>
      <c r="S1088" s="34"/>
      <c r="T1088" s="34" t="str">
        <f>IF('PL1(Full)'!$N1088&gt;=20,"x",IF(AND('PL1(Full)'!$N1088&gt;=15,'PL1(Full)'!$P1088&gt;60),"x",""))</f>
        <v/>
      </c>
      <c r="U1088" s="34" t="str">
        <f>IF(AND('PL1(Full)'!$H1088="Thôn",'PL1(Full)'!$I1088&lt;75),"x",IF(AND('PL1(Full)'!$H1088="Tổ",'PL1(Full)'!$I1088&lt;100),"x","-"))</f>
        <v>x</v>
      </c>
      <c r="V1088" s="34" t="str">
        <f>IF(AND('PL1(Full)'!$H1088="Thôn",'PL1(Full)'!$I1088&lt;140),"x",IF(AND('PL1(Full)'!$H1088="Tổ",'PL1(Full)'!$I1088&lt;210),"x","-"))</f>
        <v>x</v>
      </c>
      <c r="W1088" s="40" t="str">
        <f t="shared" si="175"/>
        <v>Loại 3</v>
      </c>
      <c r="X1088" s="34"/>
    </row>
    <row r="1089" spans="1:24" ht="15.75" customHeight="1">
      <c r="A1089" s="30">
        <f>_xlfn.AGGREGATE(4,7,A$6:A1088)+1</f>
        <v>831</v>
      </c>
      <c r="B1089" s="54" t="str">
        <f t="shared" si="191"/>
        <v>H. Pác Nặm</v>
      </c>
      <c r="C1089" s="31" t="str">
        <f t="shared" si="192"/>
        <v>X. Bằng Thành</v>
      </c>
      <c r="D1089" s="34"/>
      <c r="E1089" s="34" t="s">
        <v>58</v>
      </c>
      <c r="F1089" s="54" t="s">
        <v>1147</v>
      </c>
      <c r="G1089" s="34"/>
      <c r="H1089" s="34" t="str">
        <f>IF(LEFT('PL1(Full)'!$F1089,4)="Thôn","Thôn","Tổ")</f>
        <v>Thôn</v>
      </c>
      <c r="I1089" s="36">
        <v>30</v>
      </c>
      <c r="J1089" s="36">
        <v>148</v>
      </c>
      <c r="K1089" s="36">
        <v>30</v>
      </c>
      <c r="L1089" s="37">
        <f t="shared" si="0"/>
        <v>100</v>
      </c>
      <c r="M1089" s="36">
        <v>22</v>
      </c>
      <c r="N1089" s="38">
        <f t="shared" si="1"/>
        <v>73.333333333333329</v>
      </c>
      <c r="O1089" s="35">
        <f t="shared" si="190"/>
        <v>22</v>
      </c>
      <c r="P1089" s="38">
        <f t="shared" si="2"/>
        <v>100</v>
      </c>
      <c r="Q1089" s="39" t="s">
        <v>52</v>
      </c>
      <c r="R1089" s="39" t="str">
        <f t="shared" si="3"/>
        <v>C</v>
      </c>
      <c r="S1089" s="34"/>
      <c r="T1089" s="34" t="str">
        <f>IF('PL1(Full)'!$N1089&gt;=20,"x",IF(AND('PL1(Full)'!$N1089&gt;=15,'PL1(Full)'!$P1089&gt;60),"x",""))</f>
        <v>x</v>
      </c>
      <c r="U1089" s="34" t="str">
        <f>IF(AND('PL1(Full)'!$H1089="Thôn",'PL1(Full)'!$I1089&lt;75),"x",IF(AND('PL1(Full)'!$H1089="Tổ",'PL1(Full)'!$I1089&lt;100),"x","-"))</f>
        <v>x</v>
      </c>
      <c r="V1089" s="34" t="str">
        <f>IF(AND('PL1(Full)'!$H1089="Thôn",'PL1(Full)'!$I1089&lt;140),"x",IF(AND('PL1(Full)'!$H1089="Tổ",'PL1(Full)'!$I1089&lt;210),"x","-"))</f>
        <v>x</v>
      </c>
      <c r="W1089" s="40" t="str">
        <f t="shared" si="175"/>
        <v>Loại 3</v>
      </c>
      <c r="X1089" s="34"/>
    </row>
    <row r="1090" spans="1:24" ht="15.75" customHeight="1">
      <c r="A1090" s="30">
        <f>_xlfn.AGGREGATE(4,7,A$6:A1089)+1</f>
        <v>832</v>
      </c>
      <c r="B1090" s="54" t="str">
        <f t="shared" si="191"/>
        <v>H. Pác Nặm</v>
      </c>
      <c r="C1090" s="31" t="str">
        <f t="shared" si="192"/>
        <v>X. Bằng Thành</v>
      </c>
      <c r="D1090" s="34"/>
      <c r="E1090" s="34" t="s">
        <v>58</v>
      </c>
      <c r="F1090" s="54" t="s">
        <v>1148</v>
      </c>
      <c r="G1090" s="34"/>
      <c r="H1090" s="34" t="str">
        <f>IF(LEFT('PL1(Full)'!$F1090,4)="Thôn","Thôn","Tổ")</f>
        <v>Thôn</v>
      </c>
      <c r="I1090" s="36">
        <v>47</v>
      </c>
      <c r="J1090" s="36">
        <v>199</v>
      </c>
      <c r="K1090" s="36">
        <v>47</v>
      </c>
      <c r="L1090" s="37">
        <f t="shared" si="0"/>
        <v>100</v>
      </c>
      <c r="M1090" s="36">
        <v>4</v>
      </c>
      <c r="N1090" s="38">
        <f t="shared" si="1"/>
        <v>8.5106382978723403</v>
      </c>
      <c r="O1090" s="35">
        <f t="shared" si="190"/>
        <v>4</v>
      </c>
      <c r="P1090" s="38">
        <f t="shared" si="2"/>
        <v>100</v>
      </c>
      <c r="Q1090" s="39" t="s">
        <v>82</v>
      </c>
      <c r="R1090" s="39" t="str">
        <f t="shared" si="3"/>
        <v>X</v>
      </c>
      <c r="S1090" s="34" t="s">
        <v>60</v>
      </c>
      <c r="T1090" s="34" t="str">
        <f>IF('PL1(Full)'!$N1090&gt;=20,"x",IF(AND('PL1(Full)'!$N1090&gt;=15,'PL1(Full)'!$P1090&gt;60),"x",""))</f>
        <v/>
      </c>
      <c r="U1090" s="34" t="str">
        <f>IF(AND('PL1(Full)'!$H1090="Thôn",'PL1(Full)'!$I1090&lt;75),"x",IF(AND('PL1(Full)'!$H1090="Tổ",'PL1(Full)'!$I1090&lt;100),"x","-"))</f>
        <v>x</v>
      </c>
      <c r="V1090" s="34" t="str">
        <f>IF(AND('PL1(Full)'!$H1090="Thôn",'PL1(Full)'!$I1090&lt;140),"x",IF(AND('PL1(Full)'!$H1090="Tổ",'PL1(Full)'!$I1090&lt;210),"x","-"))</f>
        <v>x</v>
      </c>
      <c r="W1090" s="40" t="str">
        <f t="shared" si="175"/>
        <v>Loại 3</v>
      </c>
      <c r="X1090" s="34"/>
    </row>
    <row r="1091" spans="1:24" ht="15.75" customHeight="1">
      <c r="A1091" s="41">
        <f>_xlfn.AGGREGATE(4,7,A$6:A1090)+1</f>
        <v>833</v>
      </c>
      <c r="B1091" s="55" t="str">
        <f t="shared" si="191"/>
        <v>H. Pác Nặm</v>
      </c>
      <c r="C1091" s="42" t="str">
        <f t="shared" si="192"/>
        <v>X. Bằng Thành</v>
      </c>
      <c r="D1091" s="50"/>
      <c r="E1091" s="50" t="s">
        <v>58</v>
      </c>
      <c r="F1091" s="55" t="s">
        <v>1149</v>
      </c>
      <c r="G1091" s="50"/>
      <c r="H1091" s="50" t="str">
        <f>IF(LEFT('PL1(Full)'!$F1091,4)="Thôn","Thôn","Tổ")</f>
        <v>Thôn</v>
      </c>
      <c r="I1091" s="46">
        <v>36</v>
      </c>
      <c r="J1091" s="46">
        <v>172</v>
      </c>
      <c r="K1091" s="46">
        <v>31</v>
      </c>
      <c r="L1091" s="47">
        <f t="shared" si="0"/>
        <v>86.111111111111114</v>
      </c>
      <c r="M1091" s="46">
        <v>31</v>
      </c>
      <c r="N1091" s="48">
        <f t="shared" si="1"/>
        <v>86.111111111111114</v>
      </c>
      <c r="O1091" s="45">
        <f t="shared" si="190"/>
        <v>31</v>
      </c>
      <c r="P1091" s="48">
        <f t="shared" si="2"/>
        <v>100</v>
      </c>
      <c r="Q1091" s="49" t="s">
        <v>52</v>
      </c>
      <c r="R1091" s="49" t="str">
        <f t="shared" si="3"/>
        <v>C</v>
      </c>
      <c r="S1091" s="50" t="s">
        <v>60</v>
      </c>
      <c r="T1091" s="50" t="str">
        <f>IF('PL1(Full)'!$N1091&gt;=20,"x",IF(AND('PL1(Full)'!$N1091&gt;=15,'PL1(Full)'!$P1091&gt;60),"x",""))</f>
        <v>x</v>
      </c>
      <c r="U1091" s="50" t="str">
        <f>IF(AND('PL1(Full)'!$H1091="Thôn",'PL1(Full)'!$I1091&lt;75),"x",IF(AND('PL1(Full)'!$H1091="Tổ",'PL1(Full)'!$I1091&lt;100),"x","-"))</f>
        <v>x</v>
      </c>
      <c r="V1091" s="34" t="str">
        <f>IF(AND('PL1(Full)'!$H1091="Thôn",'PL1(Full)'!$I1091&lt;140),"x",IF(AND('PL1(Full)'!$H1091="Tổ",'PL1(Full)'!$I1091&lt;210),"x","-"))</f>
        <v>x</v>
      </c>
      <c r="W1091" s="51" t="str">
        <f t="shared" si="175"/>
        <v>Loại 3</v>
      </c>
      <c r="X1091" s="50"/>
    </row>
    <row r="1092" spans="1:24" ht="15.75" hidden="1" customHeight="1">
      <c r="A1092" s="52">
        <f>_xlfn.AGGREGATE(4,7,A$6:A1091)+1</f>
        <v>834</v>
      </c>
      <c r="B1092" s="53" t="str">
        <f t="shared" si="191"/>
        <v>H. Pác Nặm</v>
      </c>
      <c r="C1092" s="14" t="s">
        <v>1150</v>
      </c>
      <c r="D1092" s="25" t="s">
        <v>58</v>
      </c>
      <c r="E1092" s="25" t="s">
        <v>58</v>
      </c>
      <c r="F1092" s="53" t="s">
        <v>1151</v>
      </c>
      <c r="G1092" s="25"/>
      <c r="H1092" s="25" t="str">
        <f>IF(LEFT('PL1(Full)'!$F1092,4)="Thôn","Thôn","Tổ")</f>
        <v>Thôn</v>
      </c>
      <c r="I1092" s="20">
        <v>146</v>
      </c>
      <c r="J1092" s="20">
        <v>571</v>
      </c>
      <c r="K1092" s="20">
        <v>107</v>
      </c>
      <c r="L1092" s="21">
        <f t="shared" si="0"/>
        <v>73.287671232876718</v>
      </c>
      <c r="M1092" s="20">
        <v>3</v>
      </c>
      <c r="N1092" s="22">
        <f t="shared" si="1"/>
        <v>2.0547945205479454</v>
      </c>
      <c r="O1092" s="20">
        <v>3</v>
      </c>
      <c r="P1092" s="22">
        <f t="shared" si="2"/>
        <v>100</v>
      </c>
      <c r="Q1092" s="23" t="s">
        <v>63</v>
      </c>
      <c r="R1092" s="24" t="str">
        <f t="shared" si="3"/>
        <v>X</v>
      </c>
      <c r="S1092" s="25"/>
      <c r="T1092" s="26" t="str">
        <f>IF('PL1(Full)'!$N1092&gt;=20,"x",IF(AND('PL1(Full)'!$N1092&gt;=15,'PL1(Full)'!$P1092&gt;60),"x",""))</f>
        <v/>
      </c>
      <c r="U1092" s="27" t="str">
        <f>IF(AND('PL1(Full)'!$H1092="Thôn",'PL1(Full)'!$I1092&lt;75),"x",IF(AND('PL1(Full)'!$H1092="Tổ",'PL1(Full)'!$I1092&lt;100),"x","-"))</f>
        <v>-</v>
      </c>
      <c r="V1092" s="28" t="str">
        <f>IF(AND('PL1(Full)'!$H1092="Thôn",'PL1(Full)'!$I1092&lt;140),"x",IF(AND('PL1(Full)'!$H1092="Tổ",'PL1(Full)'!$I1092&lt;210),"x","-"))</f>
        <v>-</v>
      </c>
      <c r="W1092" s="29" t="str">
        <f t="shared" si="175"/>
        <v>Loại 2</v>
      </c>
      <c r="X1092" s="25"/>
    </row>
    <row r="1093" spans="1:24" ht="15.75" customHeight="1">
      <c r="A1093" s="30">
        <f>_xlfn.AGGREGATE(4,7,A$6:A1092)+1</f>
        <v>834</v>
      </c>
      <c r="B1093" s="54" t="str">
        <f t="shared" si="191"/>
        <v>H. Pác Nặm</v>
      </c>
      <c r="C1093" s="54" t="str">
        <f t="shared" ref="C1093:C1106" si="193">C1092</f>
        <v>X. Bộc Bố</v>
      </c>
      <c r="D1093" s="34"/>
      <c r="E1093" s="34" t="s">
        <v>58</v>
      </c>
      <c r="F1093" s="54" t="s">
        <v>1152</v>
      </c>
      <c r="G1093" s="34"/>
      <c r="H1093" s="34" t="str">
        <f>IF(LEFT('PL1(Full)'!$F1093,4)="Thôn","Thôn","Tổ")</f>
        <v>Thôn</v>
      </c>
      <c r="I1093" s="36">
        <v>36</v>
      </c>
      <c r="J1093" s="36">
        <v>197</v>
      </c>
      <c r="K1093" s="36">
        <v>36</v>
      </c>
      <c r="L1093" s="37">
        <f t="shared" si="0"/>
        <v>100</v>
      </c>
      <c r="M1093" s="36">
        <v>13</v>
      </c>
      <c r="N1093" s="38">
        <f t="shared" si="1"/>
        <v>36.111111111111114</v>
      </c>
      <c r="O1093" s="36">
        <v>13</v>
      </c>
      <c r="P1093" s="38">
        <f t="shared" si="2"/>
        <v>100</v>
      </c>
      <c r="Q1093" s="39" t="s">
        <v>63</v>
      </c>
      <c r="R1093" s="39" t="str">
        <f t="shared" si="3"/>
        <v>X</v>
      </c>
      <c r="S1093" s="34"/>
      <c r="T1093" s="34" t="str">
        <f>IF('PL1(Full)'!$N1093&gt;=20,"x",IF(AND('PL1(Full)'!$N1093&gt;=15,'PL1(Full)'!$P1093&gt;60),"x",""))</f>
        <v>x</v>
      </c>
      <c r="U1093" s="34" t="str">
        <f>IF(AND('PL1(Full)'!$H1093="Thôn",'PL1(Full)'!$I1093&lt;75),"x",IF(AND('PL1(Full)'!$H1093="Tổ",'PL1(Full)'!$I1093&lt;100),"x","-"))</f>
        <v>x</v>
      </c>
      <c r="V1093" s="34" t="str">
        <f>IF(AND('PL1(Full)'!$H1093="Thôn",'PL1(Full)'!$I1093&lt;140),"x",IF(AND('PL1(Full)'!$H1093="Tổ",'PL1(Full)'!$I1093&lt;210),"x","-"))</f>
        <v>x</v>
      </c>
      <c r="W1093" s="40" t="str">
        <f t="shared" si="175"/>
        <v>Loại 3</v>
      </c>
      <c r="X1093" s="34"/>
    </row>
    <row r="1094" spans="1:24" ht="15.75" customHeight="1">
      <c r="A1094" s="30">
        <f>_xlfn.AGGREGATE(4,7,A$6:A1093)+1</f>
        <v>835</v>
      </c>
      <c r="B1094" s="54" t="str">
        <f t="shared" si="191"/>
        <v>H. Pác Nặm</v>
      </c>
      <c r="C1094" s="54" t="str">
        <f t="shared" si="193"/>
        <v>X. Bộc Bố</v>
      </c>
      <c r="D1094" s="34"/>
      <c r="E1094" s="34" t="s">
        <v>58</v>
      </c>
      <c r="F1094" s="54" t="s">
        <v>1153</v>
      </c>
      <c r="G1094" s="34"/>
      <c r="H1094" s="34" t="str">
        <f>IF(LEFT('PL1(Full)'!$F1094,4)="Thôn","Thôn","Tổ")</f>
        <v>Thôn</v>
      </c>
      <c r="I1094" s="36">
        <v>63</v>
      </c>
      <c r="J1094" s="36">
        <v>306</v>
      </c>
      <c r="K1094" s="36">
        <v>62</v>
      </c>
      <c r="L1094" s="37">
        <f t="shared" si="0"/>
        <v>98.412698412698418</v>
      </c>
      <c r="M1094" s="36">
        <v>15</v>
      </c>
      <c r="N1094" s="38">
        <f t="shared" si="1"/>
        <v>23.80952380952381</v>
      </c>
      <c r="O1094" s="36">
        <v>15</v>
      </c>
      <c r="P1094" s="38">
        <f t="shared" si="2"/>
        <v>100</v>
      </c>
      <c r="Q1094" s="39" t="s">
        <v>63</v>
      </c>
      <c r="R1094" s="39" t="str">
        <f t="shared" si="3"/>
        <v>X</v>
      </c>
      <c r="S1094" s="34" t="s">
        <v>60</v>
      </c>
      <c r="T1094" s="34" t="str">
        <f>IF('PL1(Full)'!$N1094&gt;=20,"x",IF(AND('PL1(Full)'!$N1094&gt;=15,'PL1(Full)'!$P1094&gt;60),"x",""))</f>
        <v>x</v>
      </c>
      <c r="U1094" s="34" t="str">
        <f>IF(AND('PL1(Full)'!$H1094="Thôn",'PL1(Full)'!$I1094&lt;75),"x",IF(AND('PL1(Full)'!$H1094="Tổ",'PL1(Full)'!$I1094&lt;100),"x","-"))</f>
        <v>x</v>
      </c>
      <c r="V1094" s="34" t="str">
        <f>IF(AND('PL1(Full)'!$H1094="Thôn",'PL1(Full)'!$I1094&lt;140),"x",IF(AND('PL1(Full)'!$H1094="Tổ",'PL1(Full)'!$I1094&lt;210),"x","-"))</f>
        <v>x</v>
      </c>
      <c r="W1094" s="40" t="str">
        <f t="shared" si="175"/>
        <v>Loại 3</v>
      </c>
      <c r="X1094" s="34"/>
    </row>
    <row r="1095" spans="1:24" ht="15.75" customHeight="1">
      <c r="A1095" s="30">
        <f>_xlfn.AGGREGATE(4,7,A$6:A1094)+1</f>
        <v>836</v>
      </c>
      <c r="B1095" s="54" t="str">
        <f t="shared" si="191"/>
        <v>H. Pác Nặm</v>
      </c>
      <c r="C1095" s="54" t="str">
        <f t="shared" si="193"/>
        <v>X. Bộc Bố</v>
      </c>
      <c r="D1095" s="34"/>
      <c r="E1095" s="34" t="s">
        <v>58</v>
      </c>
      <c r="F1095" s="54" t="s">
        <v>1154</v>
      </c>
      <c r="G1095" s="34"/>
      <c r="H1095" s="34" t="str">
        <f>IF(LEFT('PL1(Full)'!$F1095,4)="Thôn","Thôn","Tổ")</f>
        <v>Thôn</v>
      </c>
      <c r="I1095" s="36">
        <v>58</v>
      </c>
      <c r="J1095" s="36">
        <v>280</v>
      </c>
      <c r="K1095" s="36">
        <v>57</v>
      </c>
      <c r="L1095" s="37">
        <f t="shared" si="0"/>
        <v>98.275862068965523</v>
      </c>
      <c r="M1095" s="36">
        <v>47</v>
      </c>
      <c r="N1095" s="38">
        <f t="shared" si="1"/>
        <v>81.034482758620683</v>
      </c>
      <c r="O1095" s="36">
        <v>47</v>
      </c>
      <c r="P1095" s="38">
        <f t="shared" si="2"/>
        <v>100</v>
      </c>
      <c r="Q1095" s="39" t="s">
        <v>63</v>
      </c>
      <c r="R1095" s="39" t="str">
        <f t="shared" si="3"/>
        <v>X</v>
      </c>
      <c r="S1095" s="34" t="s">
        <v>60</v>
      </c>
      <c r="T1095" s="34" t="str">
        <f>IF('PL1(Full)'!$N1095&gt;=20,"x",IF(AND('PL1(Full)'!$N1095&gt;=15,'PL1(Full)'!$P1095&gt;60),"x",""))</f>
        <v>x</v>
      </c>
      <c r="U1095" s="34" t="str">
        <f>IF(AND('PL1(Full)'!$H1095="Thôn",'PL1(Full)'!$I1095&lt;75),"x",IF(AND('PL1(Full)'!$H1095="Tổ",'PL1(Full)'!$I1095&lt;100),"x","-"))</f>
        <v>x</v>
      </c>
      <c r="V1095" s="34" t="str">
        <f>IF(AND('PL1(Full)'!$H1095="Thôn",'PL1(Full)'!$I1095&lt;140),"x",IF(AND('PL1(Full)'!$H1095="Tổ",'PL1(Full)'!$I1095&lt;210),"x","-"))</f>
        <v>x</v>
      </c>
      <c r="W1095" s="40" t="str">
        <f t="shared" si="175"/>
        <v>Loại 3</v>
      </c>
      <c r="X1095" s="34"/>
    </row>
    <row r="1096" spans="1:24" ht="15.75" customHeight="1">
      <c r="A1096" s="30">
        <f>_xlfn.AGGREGATE(4,7,A$6:A1095)+1</f>
        <v>837</v>
      </c>
      <c r="B1096" s="54" t="str">
        <f t="shared" si="191"/>
        <v>H. Pác Nặm</v>
      </c>
      <c r="C1096" s="54" t="str">
        <f t="shared" si="193"/>
        <v>X. Bộc Bố</v>
      </c>
      <c r="D1096" s="34"/>
      <c r="E1096" s="34" t="s">
        <v>58</v>
      </c>
      <c r="F1096" s="54" t="s">
        <v>1155</v>
      </c>
      <c r="G1096" s="34"/>
      <c r="H1096" s="34" t="str">
        <f>IF(LEFT('PL1(Full)'!$F1096,4)="Thôn","Thôn","Tổ")</f>
        <v>Thôn</v>
      </c>
      <c r="I1096" s="36">
        <v>52</v>
      </c>
      <c r="J1096" s="36">
        <v>254</v>
      </c>
      <c r="K1096" s="36">
        <v>52</v>
      </c>
      <c r="L1096" s="37">
        <f t="shared" si="0"/>
        <v>100</v>
      </c>
      <c r="M1096" s="36">
        <v>16</v>
      </c>
      <c r="N1096" s="38">
        <f t="shared" si="1"/>
        <v>30.76923076923077</v>
      </c>
      <c r="O1096" s="36">
        <v>16</v>
      </c>
      <c r="P1096" s="38">
        <f t="shared" si="2"/>
        <v>100</v>
      </c>
      <c r="Q1096" s="39" t="s">
        <v>63</v>
      </c>
      <c r="R1096" s="39" t="str">
        <f t="shared" si="3"/>
        <v>X</v>
      </c>
      <c r="S1096" s="34" t="s">
        <v>60</v>
      </c>
      <c r="T1096" s="34" t="str">
        <f>IF('PL1(Full)'!$N1096&gt;=20,"x",IF(AND('PL1(Full)'!$N1096&gt;=15,'PL1(Full)'!$P1096&gt;60),"x",""))</f>
        <v>x</v>
      </c>
      <c r="U1096" s="34" t="str">
        <f>IF(AND('PL1(Full)'!$H1096="Thôn",'PL1(Full)'!$I1096&lt;75),"x",IF(AND('PL1(Full)'!$H1096="Tổ",'PL1(Full)'!$I1096&lt;100),"x","-"))</f>
        <v>x</v>
      </c>
      <c r="V1096" s="34" t="str">
        <f>IF(AND('PL1(Full)'!$H1096="Thôn",'PL1(Full)'!$I1096&lt;140),"x",IF(AND('PL1(Full)'!$H1096="Tổ",'PL1(Full)'!$I1096&lt;210),"x","-"))</f>
        <v>x</v>
      </c>
      <c r="W1096" s="40" t="str">
        <f t="shared" si="175"/>
        <v>Loại 3</v>
      </c>
      <c r="X1096" s="34"/>
    </row>
    <row r="1097" spans="1:24" ht="15.75" customHeight="1">
      <c r="A1097" s="30">
        <f>_xlfn.AGGREGATE(4,7,A$6:A1096)+1</f>
        <v>838</v>
      </c>
      <c r="B1097" s="54" t="str">
        <f t="shared" si="191"/>
        <v>H. Pác Nặm</v>
      </c>
      <c r="C1097" s="54" t="str">
        <f t="shared" si="193"/>
        <v>X. Bộc Bố</v>
      </c>
      <c r="D1097" s="34"/>
      <c r="E1097" s="34" t="s">
        <v>58</v>
      </c>
      <c r="F1097" s="54" t="s">
        <v>1156</v>
      </c>
      <c r="G1097" s="34"/>
      <c r="H1097" s="34" t="str">
        <f>IF(LEFT('PL1(Full)'!$F1097,4)="Thôn","Thôn","Tổ")</f>
        <v>Thôn</v>
      </c>
      <c r="I1097" s="36">
        <v>32</v>
      </c>
      <c r="J1097" s="36">
        <v>156</v>
      </c>
      <c r="K1097" s="36">
        <v>31</v>
      </c>
      <c r="L1097" s="37">
        <f t="shared" si="0"/>
        <v>96.875</v>
      </c>
      <c r="M1097" s="36">
        <v>22</v>
      </c>
      <c r="N1097" s="38">
        <f t="shared" si="1"/>
        <v>68.75</v>
      </c>
      <c r="O1097" s="36">
        <v>22</v>
      </c>
      <c r="P1097" s="38">
        <f t="shared" si="2"/>
        <v>100</v>
      </c>
      <c r="Q1097" s="39" t="s">
        <v>63</v>
      </c>
      <c r="R1097" s="39" t="str">
        <f t="shared" si="3"/>
        <v>X</v>
      </c>
      <c r="S1097" s="34" t="s">
        <v>60</v>
      </c>
      <c r="T1097" s="34" t="str">
        <f>IF('PL1(Full)'!$N1097&gt;=20,"x",IF(AND('PL1(Full)'!$N1097&gt;=15,'PL1(Full)'!$P1097&gt;60),"x",""))</f>
        <v>x</v>
      </c>
      <c r="U1097" s="34" t="str">
        <f>IF(AND('PL1(Full)'!$H1097="Thôn",'PL1(Full)'!$I1097&lt;75),"x",IF(AND('PL1(Full)'!$H1097="Tổ",'PL1(Full)'!$I1097&lt;100),"x","-"))</f>
        <v>x</v>
      </c>
      <c r="V1097" s="34" t="str">
        <f>IF(AND('PL1(Full)'!$H1097="Thôn",'PL1(Full)'!$I1097&lt;140),"x",IF(AND('PL1(Full)'!$H1097="Tổ",'PL1(Full)'!$I1097&lt;210),"x","-"))</f>
        <v>x</v>
      </c>
      <c r="W1097" s="40" t="str">
        <f t="shared" si="175"/>
        <v>Loại 3</v>
      </c>
      <c r="X1097" s="34"/>
    </row>
    <row r="1098" spans="1:24" ht="15.75" hidden="1" customHeight="1">
      <c r="A1098" s="30">
        <f>_xlfn.AGGREGATE(4,7,A$6:A1097)+1</f>
        <v>839</v>
      </c>
      <c r="B1098" s="54" t="str">
        <f t="shared" si="191"/>
        <v>H. Pác Nặm</v>
      </c>
      <c r="C1098" s="54" t="str">
        <f t="shared" si="193"/>
        <v>X. Bộc Bố</v>
      </c>
      <c r="D1098" s="34"/>
      <c r="E1098" s="34" t="s">
        <v>58</v>
      </c>
      <c r="F1098" s="54" t="s">
        <v>936</v>
      </c>
      <c r="G1098" s="34"/>
      <c r="H1098" s="34" t="str">
        <f>IF(LEFT('PL1(Full)'!$F1098,4)="Thôn","Thôn","Tổ")</f>
        <v>Thôn</v>
      </c>
      <c r="I1098" s="36">
        <v>232</v>
      </c>
      <c r="J1098" s="36">
        <v>834</v>
      </c>
      <c r="K1098" s="36">
        <v>198</v>
      </c>
      <c r="L1098" s="37">
        <f t="shared" si="0"/>
        <v>85.34482758620689</v>
      </c>
      <c r="M1098" s="36">
        <v>1</v>
      </c>
      <c r="N1098" s="38">
        <f t="shared" si="1"/>
        <v>0.43103448275862066</v>
      </c>
      <c r="O1098" s="36">
        <v>1</v>
      </c>
      <c r="P1098" s="38">
        <f t="shared" si="2"/>
        <v>100</v>
      </c>
      <c r="Q1098" s="39" t="s">
        <v>63</v>
      </c>
      <c r="R1098" s="39" t="str">
        <f t="shared" si="3"/>
        <v>X</v>
      </c>
      <c r="S1098" s="34"/>
      <c r="T1098" s="34" t="str">
        <f>IF('PL1(Full)'!$N1098&gt;=20,"x",IF(AND('PL1(Full)'!$N1098&gt;=15,'PL1(Full)'!$P1098&gt;60),"x",""))</f>
        <v/>
      </c>
      <c r="U1098" s="34" t="str">
        <f>IF(AND('PL1(Full)'!$H1098="Thôn",'PL1(Full)'!$I1098&lt;75),"x",IF(AND('PL1(Full)'!$H1098="Tổ",'PL1(Full)'!$I1098&lt;100),"x","-"))</f>
        <v>-</v>
      </c>
      <c r="V1098" s="34" t="str">
        <f>IF(AND('PL1(Full)'!$H1098="Thôn",'PL1(Full)'!$I1098&lt;140),"x",IF(AND('PL1(Full)'!$H1098="Tổ",'PL1(Full)'!$I1098&lt;210),"x","-"))</f>
        <v>-</v>
      </c>
      <c r="W1098" s="40" t="str">
        <f t="shared" si="175"/>
        <v>Loại 1</v>
      </c>
      <c r="X1098" s="34"/>
    </row>
    <row r="1099" spans="1:24" ht="15.75" customHeight="1">
      <c r="A1099" s="30">
        <f>_xlfn.AGGREGATE(4,7,A$6:A1098)+1</f>
        <v>839</v>
      </c>
      <c r="B1099" s="54" t="str">
        <f t="shared" si="191"/>
        <v>H. Pác Nặm</v>
      </c>
      <c r="C1099" s="54" t="str">
        <f t="shared" si="193"/>
        <v>X. Bộc Bố</v>
      </c>
      <c r="D1099" s="34"/>
      <c r="E1099" s="34" t="s">
        <v>58</v>
      </c>
      <c r="F1099" s="54" t="s">
        <v>1157</v>
      </c>
      <c r="G1099" s="34"/>
      <c r="H1099" s="34" t="str">
        <f>IF(LEFT('PL1(Full)'!$F1099,4)="Thôn","Thôn","Tổ")</f>
        <v>Thôn</v>
      </c>
      <c r="I1099" s="36">
        <v>24</v>
      </c>
      <c r="J1099" s="36">
        <v>108</v>
      </c>
      <c r="K1099" s="36">
        <v>22</v>
      </c>
      <c r="L1099" s="37">
        <f t="shared" si="0"/>
        <v>91.666666666666671</v>
      </c>
      <c r="M1099" s="36">
        <v>20</v>
      </c>
      <c r="N1099" s="38">
        <f t="shared" si="1"/>
        <v>83.333333333333329</v>
      </c>
      <c r="O1099" s="36">
        <v>20</v>
      </c>
      <c r="P1099" s="38">
        <f t="shared" si="2"/>
        <v>100</v>
      </c>
      <c r="Q1099" s="39" t="s">
        <v>63</v>
      </c>
      <c r="R1099" s="39" t="str">
        <f t="shared" si="3"/>
        <v>X</v>
      </c>
      <c r="S1099" s="34" t="s">
        <v>60</v>
      </c>
      <c r="T1099" s="34" t="str">
        <f>IF('PL1(Full)'!$N1099&gt;=20,"x",IF(AND('PL1(Full)'!$N1099&gt;=15,'PL1(Full)'!$P1099&gt;60),"x",""))</f>
        <v>x</v>
      </c>
      <c r="U1099" s="34" t="str">
        <f>IF(AND('PL1(Full)'!$H1099="Thôn",'PL1(Full)'!$I1099&lt;75),"x",IF(AND('PL1(Full)'!$H1099="Tổ",'PL1(Full)'!$I1099&lt;100),"x","-"))</f>
        <v>x</v>
      </c>
      <c r="V1099" s="34" t="str">
        <f>IF(AND('PL1(Full)'!$H1099="Thôn",'PL1(Full)'!$I1099&lt;140),"x",IF(AND('PL1(Full)'!$H1099="Tổ",'PL1(Full)'!$I1099&lt;210),"x","-"))</f>
        <v>x</v>
      </c>
      <c r="W1099" s="40" t="str">
        <f t="shared" si="175"/>
        <v>Loại 3</v>
      </c>
      <c r="X1099" s="34"/>
    </row>
    <row r="1100" spans="1:24" ht="15.75" customHeight="1">
      <c r="A1100" s="30">
        <f>_xlfn.AGGREGATE(4,7,A$6:A1099)+1</f>
        <v>840</v>
      </c>
      <c r="B1100" s="54" t="str">
        <f t="shared" si="191"/>
        <v>H. Pác Nặm</v>
      </c>
      <c r="C1100" s="54" t="str">
        <f t="shared" si="193"/>
        <v>X. Bộc Bố</v>
      </c>
      <c r="D1100" s="34"/>
      <c r="E1100" s="34" t="s">
        <v>58</v>
      </c>
      <c r="F1100" s="54" t="s">
        <v>1158</v>
      </c>
      <c r="G1100" s="34"/>
      <c r="H1100" s="34" t="str">
        <f>IF(LEFT('PL1(Full)'!$F1100,4)="Thôn","Thôn","Tổ")</f>
        <v>Thôn</v>
      </c>
      <c r="I1100" s="36">
        <v>58</v>
      </c>
      <c r="J1100" s="36">
        <v>280</v>
      </c>
      <c r="K1100" s="36">
        <v>57</v>
      </c>
      <c r="L1100" s="37">
        <f t="shared" si="0"/>
        <v>98.275862068965523</v>
      </c>
      <c r="M1100" s="36">
        <v>26</v>
      </c>
      <c r="N1100" s="38">
        <f t="shared" si="1"/>
        <v>44.827586206896555</v>
      </c>
      <c r="O1100" s="36">
        <v>26</v>
      </c>
      <c r="P1100" s="38">
        <f t="shared" si="2"/>
        <v>100</v>
      </c>
      <c r="Q1100" s="39" t="s">
        <v>63</v>
      </c>
      <c r="R1100" s="39" t="str">
        <f t="shared" si="3"/>
        <v>X</v>
      </c>
      <c r="S1100" s="34" t="s">
        <v>60</v>
      </c>
      <c r="T1100" s="34" t="str">
        <f>IF('PL1(Full)'!$N1100&gt;=20,"x",IF(AND('PL1(Full)'!$N1100&gt;=15,'PL1(Full)'!$P1100&gt;60),"x",""))</f>
        <v>x</v>
      </c>
      <c r="U1100" s="34" t="str">
        <f>IF(AND('PL1(Full)'!$H1100="Thôn",'PL1(Full)'!$I1100&lt;75),"x",IF(AND('PL1(Full)'!$H1100="Tổ",'PL1(Full)'!$I1100&lt;100),"x","-"))</f>
        <v>x</v>
      </c>
      <c r="V1100" s="34" t="str">
        <f>IF(AND('PL1(Full)'!$H1100="Thôn",'PL1(Full)'!$I1100&lt;140),"x",IF(AND('PL1(Full)'!$H1100="Tổ",'PL1(Full)'!$I1100&lt;210),"x","-"))</f>
        <v>x</v>
      </c>
      <c r="W1100" s="40" t="str">
        <f t="shared" si="175"/>
        <v>Loại 3</v>
      </c>
      <c r="X1100" s="34"/>
    </row>
    <row r="1101" spans="1:24" ht="15.75" hidden="1" customHeight="1">
      <c r="A1101" s="30">
        <f>_xlfn.AGGREGATE(4,7,A$6:A1100)+1</f>
        <v>841</v>
      </c>
      <c r="B1101" s="54" t="str">
        <f t="shared" si="191"/>
        <v>H. Pác Nặm</v>
      </c>
      <c r="C1101" s="54" t="str">
        <f t="shared" si="193"/>
        <v>X. Bộc Bố</v>
      </c>
      <c r="D1101" s="34"/>
      <c r="E1101" s="34" t="s">
        <v>58</v>
      </c>
      <c r="F1101" s="54" t="s">
        <v>362</v>
      </c>
      <c r="G1101" s="34"/>
      <c r="H1101" s="34" t="str">
        <f>IF(LEFT('PL1(Full)'!$F1101,4)="Thôn","Thôn","Tổ")</f>
        <v>Thôn</v>
      </c>
      <c r="I1101" s="36">
        <v>127</v>
      </c>
      <c r="J1101" s="36">
        <v>430</v>
      </c>
      <c r="K1101" s="36">
        <v>121</v>
      </c>
      <c r="L1101" s="37">
        <f t="shared" si="0"/>
        <v>95.275590551181097</v>
      </c>
      <c r="M1101" s="36">
        <v>5</v>
      </c>
      <c r="N1101" s="38">
        <f t="shared" si="1"/>
        <v>3.9370078740157481</v>
      </c>
      <c r="O1101" s="36">
        <v>5</v>
      </c>
      <c r="P1101" s="38">
        <f t="shared" si="2"/>
        <v>100</v>
      </c>
      <c r="Q1101" s="39" t="s">
        <v>63</v>
      </c>
      <c r="R1101" s="39" t="str">
        <f t="shared" si="3"/>
        <v>X</v>
      </c>
      <c r="S1101" s="34"/>
      <c r="T1101" s="34" t="str">
        <f>IF('PL1(Full)'!$N1101&gt;=20,"x",IF(AND('PL1(Full)'!$N1101&gt;=15,'PL1(Full)'!$P1101&gt;60),"x",""))</f>
        <v/>
      </c>
      <c r="U1101" s="34" t="str">
        <f>IF(AND('PL1(Full)'!$H1101="Thôn",'PL1(Full)'!$I1101&lt;75),"x",IF(AND('PL1(Full)'!$H1101="Tổ",'PL1(Full)'!$I1101&lt;100),"x","-"))</f>
        <v>-</v>
      </c>
      <c r="V1101" s="34" t="str">
        <f>IF(AND('PL1(Full)'!$H1101="Thôn",'PL1(Full)'!$I1101&lt;140),"x",IF(AND('PL1(Full)'!$H1101="Tổ",'PL1(Full)'!$I1101&lt;210),"x","-"))</f>
        <v>x</v>
      </c>
      <c r="W1101" s="40" t="str">
        <f t="shared" si="175"/>
        <v>Loại 2</v>
      </c>
      <c r="X1101" s="34"/>
    </row>
    <row r="1102" spans="1:24" ht="15.75" customHeight="1">
      <c r="A1102" s="30">
        <f>_xlfn.AGGREGATE(4,7,A$6:A1101)+1</f>
        <v>841</v>
      </c>
      <c r="B1102" s="54" t="str">
        <f t="shared" si="191"/>
        <v>H. Pác Nặm</v>
      </c>
      <c r="C1102" s="54" t="str">
        <f t="shared" si="193"/>
        <v>X. Bộc Bố</v>
      </c>
      <c r="D1102" s="34"/>
      <c r="E1102" s="34" t="s">
        <v>58</v>
      </c>
      <c r="F1102" s="54" t="s">
        <v>184</v>
      </c>
      <c r="G1102" s="34"/>
      <c r="H1102" s="34" t="str">
        <f>IF(LEFT('PL1(Full)'!$F1102,4)="Thôn","Thôn","Tổ")</f>
        <v>Thôn</v>
      </c>
      <c r="I1102" s="36">
        <v>68</v>
      </c>
      <c r="J1102" s="36">
        <v>284</v>
      </c>
      <c r="K1102" s="36">
        <v>59</v>
      </c>
      <c r="L1102" s="37">
        <f t="shared" si="0"/>
        <v>86.764705882352942</v>
      </c>
      <c r="M1102" s="36">
        <v>5</v>
      </c>
      <c r="N1102" s="38">
        <f t="shared" si="1"/>
        <v>7.3529411764705879</v>
      </c>
      <c r="O1102" s="36">
        <v>5</v>
      </c>
      <c r="P1102" s="38">
        <f t="shared" si="2"/>
        <v>100</v>
      </c>
      <c r="Q1102" s="39" t="s">
        <v>63</v>
      </c>
      <c r="R1102" s="39" t="str">
        <f t="shared" si="3"/>
        <v>X</v>
      </c>
      <c r="S1102" s="34"/>
      <c r="T1102" s="34" t="str">
        <f>IF('PL1(Full)'!$N1102&gt;=20,"x",IF(AND('PL1(Full)'!$N1102&gt;=15,'PL1(Full)'!$P1102&gt;60),"x",""))</f>
        <v/>
      </c>
      <c r="U1102" s="34" t="str">
        <f>IF(AND('PL1(Full)'!$H1102="Thôn",'PL1(Full)'!$I1102&lt;75),"x",IF(AND('PL1(Full)'!$H1102="Tổ",'PL1(Full)'!$I1102&lt;100),"x","-"))</f>
        <v>x</v>
      </c>
      <c r="V1102" s="34" t="str">
        <f>IF(AND('PL1(Full)'!$H1102="Thôn",'PL1(Full)'!$I1102&lt;140),"x",IF(AND('PL1(Full)'!$H1102="Tổ",'PL1(Full)'!$I1102&lt;210),"x","-"))</f>
        <v>x</v>
      </c>
      <c r="W1102" s="40" t="str">
        <f t="shared" si="175"/>
        <v>Loại 3</v>
      </c>
      <c r="X1102" s="34"/>
    </row>
    <row r="1103" spans="1:24" ht="15.75" customHeight="1">
      <c r="A1103" s="30">
        <f>_xlfn.AGGREGATE(4,7,A$6:A1102)+1</f>
        <v>842</v>
      </c>
      <c r="B1103" s="54" t="str">
        <f t="shared" si="191"/>
        <v>H. Pác Nặm</v>
      </c>
      <c r="C1103" s="54" t="str">
        <f t="shared" si="193"/>
        <v>X. Bộc Bố</v>
      </c>
      <c r="D1103" s="34"/>
      <c r="E1103" s="34" t="s">
        <v>58</v>
      </c>
      <c r="F1103" s="54" t="s">
        <v>1159</v>
      </c>
      <c r="G1103" s="34"/>
      <c r="H1103" s="34" t="str">
        <f>IF(LEFT('PL1(Full)'!$F1103,4)="Thôn","Thôn","Tổ")</f>
        <v>Thôn</v>
      </c>
      <c r="I1103" s="36">
        <v>71</v>
      </c>
      <c r="J1103" s="36">
        <v>279</v>
      </c>
      <c r="K1103" s="36">
        <v>62</v>
      </c>
      <c r="L1103" s="37">
        <f t="shared" si="0"/>
        <v>87.323943661971825</v>
      </c>
      <c r="M1103" s="36">
        <v>2</v>
      </c>
      <c r="N1103" s="38">
        <f t="shared" si="1"/>
        <v>2.816901408450704</v>
      </c>
      <c r="O1103" s="36">
        <v>2</v>
      </c>
      <c r="P1103" s="38">
        <f t="shared" si="2"/>
        <v>100</v>
      </c>
      <c r="Q1103" s="39" t="s">
        <v>63</v>
      </c>
      <c r="R1103" s="39" t="str">
        <f t="shared" si="3"/>
        <v>X</v>
      </c>
      <c r="S1103" s="34"/>
      <c r="T1103" s="34" t="str">
        <f>IF('PL1(Full)'!$N1103&gt;=20,"x",IF(AND('PL1(Full)'!$N1103&gt;=15,'PL1(Full)'!$P1103&gt;60),"x",""))</f>
        <v/>
      </c>
      <c r="U1103" s="34" t="str">
        <f>IF(AND('PL1(Full)'!$H1103="Thôn",'PL1(Full)'!$I1103&lt;75),"x",IF(AND('PL1(Full)'!$H1103="Tổ",'PL1(Full)'!$I1103&lt;100),"x","-"))</f>
        <v>x</v>
      </c>
      <c r="V1103" s="34" t="str">
        <f>IF(AND('PL1(Full)'!$H1103="Thôn",'PL1(Full)'!$I1103&lt;140),"x",IF(AND('PL1(Full)'!$H1103="Tổ",'PL1(Full)'!$I1103&lt;210),"x","-"))</f>
        <v>x</v>
      </c>
      <c r="W1103" s="40" t="str">
        <f t="shared" si="175"/>
        <v>Loại 3</v>
      </c>
      <c r="X1103" s="34"/>
    </row>
    <row r="1104" spans="1:24" ht="15.75" customHeight="1">
      <c r="A1104" s="30">
        <f>_xlfn.AGGREGATE(4,7,A$6:A1103)+1</f>
        <v>843</v>
      </c>
      <c r="B1104" s="54" t="str">
        <f t="shared" si="191"/>
        <v>H. Pác Nặm</v>
      </c>
      <c r="C1104" s="54" t="str">
        <f t="shared" si="193"/>
        <v>X. Bộc Bố</v>
      </c>
      <c r="D1104" s="34"/>
      <c r="E1104" s="34" t="s">
        <v>58</v>
      </c>
      <c r="F1104" s="54" t="s">
        <v>96</v>
      </c>
      <c r="G1104" s="34"/>
      <c r="H1104" s="34" t="str">
        <f>IF(LEFT('PL1(Full)'!$F1104,4)="Thôn","Thôn","Tổ")</f>
        <v>Thôn</v>
      </c>
      <c r="I1104" s="36">
        <v>46</v>
      </c>
      <c r="J1104" s="36">
        <v>203</v>
      </c>
      <c r="K1104" s="36">
        <v>45</v>
      </c>
      <c r="L1104" s="37">
        <f t="shared" si="0"/>
        <v>97.826086956521735</v>
      </c>
      <c r="M1104" s="36">
        <v>28</v>
      </c>
      <c r="N1104" s="38">
        <f t="shared" si="1"/>
        <v>60.869565217391305</v>
      </c>
      <c r="O1104" s="36">
        <v>28</v>
      </c>
      <c r="P1104" s="38">
        <f t="shared" si="2"/>
        <v>100</v>
      </c>
      <c r="Q1104" s="39" t="s">
        <v>63</v>
      </c>
      <c r="R1104" s="39" t="str">
        <f t="shared" si="3"/>
        <v>X</v>
      </c>
      <c r="S1104" s="34" t="s">
        <v>60</v>
      </c>
      <c r="T1104" s="34" t="str">
        <f>IF('PL1(Full)'!$N1104&gt;=20,"x",IF(AND('PL1(Full)'!$N1104&gt;=15,'PL1(Full)'!$P1104&gt;60),"x",""))</f>
        <v>x</v>
      </c>
      <c r="U1104" s="34" t="str">
        <f>IF(AND('PL1(Full)'!$H1104="Thôn",'PL1(Full)'!$I1104&lt;75),"x",IF(AND('PL1(Full)'!$H1104="Tổ",'PL1(Full)'!$I1104&lt;100),"x","-"))</f>
        <v>x</v>
      </c>
      <c r="V1104" s="34" t="str">
        <f>IF(AND('PL1(Full)'!$H1104="Thôn",'PL1(Full)'!$I1104&lt;140),"x",IF(AND('PL1(Full)'!$H1104="Tổ",'PL1(Full)'!$I1104&lt;210),"x","-"))</f>
        <v>x</v>
      </c>
      <c r="W1104" s="40" t="str">
        <f t="shared" si="175"/>
        <v>Loại 3</v>
      </c>
      <c r="X1104" s="34"/>
    </row>
    <row r="1105" spans="1:24" ht="15.75" customHeight="1">
      <c r="A1105" s="30">
        <f>_xlfn.AGGREGATE(4,7,A$6:A1104)+1</f>
        <v>844</v>
      </c>
      <c r="B1105" s="54" t="str">
        <f t="shared" si="191"/>
        <v>H. Pác Nặm</v>
      </c>
      <c r="C1105" s="54" t="str">
        <f t="shared" si="193"/>
        <v>X. Bộc Bố</v>
      </c>
      <c r="D1105" s="34"/>
      <c r="E1105" s="34" t="s">
        <v>58</v>
      </c>
      <c r="F1105" s="54" t="s">
        <v>1160</v>
      </c>
      <c r="G1105" s="34"/>
      <c r="H1105" s="34" t="str">
        <f>IF(LEFT('PL1(Full)'!$F1105,4)="Thôn","Thôn","Tổ")</f>
        <v>Thôn</v>
      </c>
      <c r="I1105" s="36">
        <v>73</v>
      </c>
      <c r="J1105" s="36">
        <v>334</v>
      </c>
      <c r="K1105" s="36">
        <v>71</v>
      </c>
      <c r="L1105" s="37">
        <f t="shared" si="0"/>
        <v>97.260273972602747</v>
      </c>
      <c r="M1105" s="36">
        <v>10</v>
      </c>
      <c r="N1105" s="38">
        <f t="shared" si="1"/>
        <v>13.698630136986301</v>
      </c>
      <c r="O1105" s="36">
        <v>10</v>
      </c>
      <c r="P1105" s="38">
        <f t="shared" si="2"/>
        <v>100</v>
      </c>
      <c r="Q1105" s="39" t="s">
        <v>63</v>
      </c>
      <c r="R1105" s="39" t="str">
        <f t="shared" si="3"/>
        <v>X</v>
      </c>
      <c r="S1105" s="34"/>
      <c r="T1105" s="34" t="str">
        <f>IF('PL1(Full)'!$N1105&gt;=20,"x",IF(AND('PL1(Full)'!$N1105&gt;=15,'PL1(Full)'!$P1105&gt;60),"x",""))</f>
        <v/>
      </c>
      <c r="U1105" s="34" t="str">
        <f>IF(AND('PL1(Full)'!$H1105="Thôn",'PL1(Full)'!$I1105&lt;75),"x",IF(AND('PL1(Full)'!$H1105="Tổ",'PL1(Full)'!$I1105&lt;100),"x","-"))</f>
        <v>x</v>
      </c>
      <c r="V1105" s="34" t="str">
        <f>IF(AND('PL1(Full)'!$H1105="Thôn",'PL1(Full)'!$I1105&lt;140),"x",IF(AND('PL1(Full)'!$H1105="Tổ",'PL1(Full)'!$I1105&lt;210),"x","-"))</f>
        <v>x</v>
      </c>
      <c r="W1105" s="40" t="str">
        <f t="shared" si="175"/>
        <v>Loại 3</v>
      </c>
      <c r="X1105" s="34"/>
    </row>
    <row r="1106" spans="1:24" ht="15.75" customHeight="1">
      <c r="A1106" s="41">
        <f>_xlfn.AGGREGATE(4,7,A$6:A1105)+1</f>
        <v>845</v>
      </c>
      <c r="B1106" s="55" t="str">
        <f t="shared" si="191"/>
        <v>H. Pác Nặm</v>
      </c>
      <c r="C1106" s="55" t="str">
        <f t="shared" si="193"/>
        <v>X. Bộc Bố</v>
      </c>
      <c r="D1106" s="50"/>
      <c r="E1106" s="50" t="s">
        <v>58</v>
      </c>
      <c r="F1106" s="55" t="s">
        <v>1161</v>
      </c>
      <c r="G1106" s="50"/>
      <c r="H1106" s="50" t="str">
        <f>IF(LEFT('PL1(Full)'!$F1106,4)="Thôn","Thôn","Tổ")</f>
        <v>Thôn</v>
      </c>
      <c r="I1106" s="46">
        <v>33</v>
      </c>
      <c r="J1106" s="46">
        <v>179</v>
      </c>
      <c r="K1106" s="46">
        <v>32</v>
      </c>
      <c r="L1106" s="47">
        <f t="shared" si="0"/>
        <v>96.969696969696969</v>
      </c>
      <c r="M1106" s="46">
        <v>27</v>
      </c>
      <c r="N1106" s="48">
        <f t="shared" si="1"/>
        <v>81.818181818181813</v>
      </c>
      <c r="O1106" s="46">
        <v>27</v>
      </c>
      <c r="P1106" s="48">
        <f t="shared" si="2"/>
        <v>100</v>
      </c>
      <c r="Q1106" s="39" t="s">
        <v>56</v>
      </c>
      <c r="R1106" s="49" t="str">
        <f t="shared" si="3"/>
        <v>X</v>
      </c>
      <c r="S1106" s="50" t="s">
        <v>60</v>
      </c>
      <c r="T1106" s="50" t="str">
        <f>IF('PL1(Full)'!$N1106&gt;=20,"x",IF(AND('PL1(Full)'!$N1106&gt;=15,'PL1(Full)'!$P1106&gt;60),"x",""))</f>
        <v>x</v>
      </c>
      <c r="U1106" s="50" t="str">
        <f>IF(AND('PL1(Full)'!$H1106="Thôn",'PL1(Full)'!$I1106&lt;75),"x",IF(AND('PL1(Full)'!$H1106="Tổ",'PL1(Full)'!$I1106&lt;100),"x","-"))</f>
        <v>x</v>
      </c>
      <c r="V1106" s="34" t="str">
        <f>IF(AND('PL1(Full)'!$H1106="Thôn",'PL1(Full)'!$I1106&lt;140),"x",IF(AND('PL1(Full)'!$H1106="Tổ",'PL1(Full)'!$I1106&lt;210),"x","-"))</f>
        <v>x</v>
      </c>
      <c r="W1106" s="51" t="str">
        <f t="shared" si="175"/>
        <v>Loại 3</v>
      </c>
      <c r="X1106" s="50"/>
    </row>
    <row r="1107" spans="1:24" ht="15.75" customHeight="1">
      <c r="A1107" s="52">
        <f>_xlfn.AGGREGATE(4,7,A$6:A1106)+1</f>
        <v>846</v>
      </c>
      <c r="B1107" s="53" t="str">
        <f t="shared" si="191"/>
        <v>H. Pác Nặm</v>
      </c>
      <c r="C1107" s="14" t="s">
        <v>1162</v>
      </c>
      <c r="D1107" s="25" t="s">
        <v>58</v>
      </c>
      <c r="E1107" s="25" t="s">
        <v>58</v>
      </c>
      <c r="F1107" s="53" t="s">
        <v>1163</v>
      </c>
      <c r="G1107" s="25"/>
      <c r="H1107" s="25" t="str">
        <f>IF(LEFT('PL1(Full)'!$F1107,4)="Thôn","Thôn","Tổ")</f>
        <v>Thôn</v>
      </c>
      <c r="I1107" s="20">
        <v>39</v>
      </c>
      <c r="J1107" s="20">
        <v>426</v>
      </c>
      <c r="K1107" s="20">
        <v>39</v>
      </c>
      <c r="L1107" s="21">
        <f t="shared" si="0"/>
        <v>100</v>
      </c>
      <c r="M1107" s="20">
        <v>5</v>
      </c>
      <c r="N1107" s="22">
        <f t="shared" si="1"/>
        <v>12.820512820512821</v>
      </c>
      <c r="O1107" s="20">
        <v>5</v>
      </c>
      <c r="P1107" s="22">
        <f t="shared" si="2"/>
        <v>100</v>
      </c>
      <c r="Q1107" s="23" t="s">
        <v>117</v>
      </c>
      <c r="R1107" s="24" t="str">
        <f t="shared" si="3"/>
        <v>T</v>
      </c>
      <c r="S1107" s="25"/>
      <c r="T1107" s="26" t="str">
        <f>IF('PL1(Full)'!$N1107&gt;=20,"x",IF(AND('PL1(Full)'!$N1107&gt;=15,'PL1(Full)'!$P1107&gt;60),"x",""))</f>
        <v/>
      </c>
      <c r="U1107" s="27" t="str">
        <f>IF(AND('PL1(Full)'!$H1107="Thôn",'PL1(Full)'!$I1107&lt;75),"x",IF(AND('PL1(Full)'!$H1107="Tổ",'PL1(Full)'!$I1107&lt;100),"x","-"))</f>
        <v>x</v>
      </c>
      <c r="V1107" s="28" t="str">
        <f>IF(AND('PL1(Full)'!$H1107="Thôn",'PL1(Full)'!$I1107&lt;140),"x",IF(AND('PL1(Full)'!$H1107="Tổ",'PL1(Full)'!$I1107&lt;210),"x","-"))</f>
        <v>x</v>
      </c>
      <c r="W1107" s="29" t="str">
        <f t="shared" si="175"/>
        <v>Loại 3</v>
      </c>
      <c r="X1107" s="148"/>
    </row>
    <row r="1108" spans="1:24" ht="15.75" customHeight="1">
      <c r="A1108" s="30">
        <f>_xlfn.AGGREGATE(4,7,A$6:A1107)+1</f>
        <v>847</v>
      </c>
      <c r="B1108" s="54" t="str">
        <f t="shared" si="191"/>
        <v>H. Pác Nặm</v>
      </c>
      <c r="C1108" s="54" t="str">
        <f t="shared" ref="C1108:C1120" si="194">C1107</f>
        <v>X. Cao Tân</v>
      </c>
      <c r="D1108" s="34"/>
      <c r="E1108" s="34" t="s">
        <v>58</v>
      </c>
      <c r="F1108" s="54" t="s">
        <v>1164</v>
      </c>
      <c r="G1108" s="34"/>
      <c r="H1108" s="34" t="str">
        <f>IF(LEFT('PL1(Full)'!$F1108,4)="Thôn","Thôn","Tổ")</f>
        <v>Thôn</v>
      </c>
      <c r="I1108" s="36">
        <v>67</v>
      </c>
      <c r="J1108" s="36">
        <v>337</v>
      </c>
      <c r="K1108" s="36">
        <v>67</v>
      </c>
      <c r="L1108" s="37">
        <f t="shared" si="0"/>
        <v>100</v>
      </c>
      <c r="M1108" s="36">
        <v>32</v>
      </c>
      <c r="N1108" s="38">
        <f t="shared" si="1"/>
        <v>47.761194029850749</v>
      </c>
      <c r="O1108" s="36">
        <v>32</v>
      </c>
      <c r="P1108" s="38">
        <f t="shared" si="2"/>
        <v>100</v>
      </c>
      <c r="Q1108" s="39" t="s">
        <v>1077</v>
      </c>
      <c r="R1108" s="39" t="str">
        <f t="shared" si="3"/>
        <v>T</v>
      </c>
      <c r="S1108" s="34" t="s">
        <v>60</v>
      </c>
      <c r="T1108" s="34" t="str">
        <f>IF('PL1(Full)'!$N1108&gt;=20,"x",IF(AND('PL1(Full)'!$N1108&gt;=15,'PL1(Full)'!$P1108&gt;60),"x",""))</f>
        <v>x</v>
      </c>
      <c r="U1108" s="34" t="str">
        <f>IF(AND('PL1(Full)'!$H1108="Thôn",'PL1(Full)'!$I1108&lt;75),"x",IF(AND('PL1(Full)'!$H1108="Tổ",'PL1(Full)'!$I1108&lt;100),"x","-"))</f>
        <v>x</v>
      </c>
      <c r="V1108" s="34" t="str">
        <f>IF(AND('PL1(Full)'!$H1108="Thôn",'PL1(Full)'!$I1108&lt;140),"x",IF(AND('PL1(Full)'!$H1108="Tổ",'PL1(Full)'!$I1108&lt;210),"x","-"))</f>
        <v>x</v>
      </c>
      <c r="W1108" s="40" t="str">
        <f t="shared" si="175"/>
        <v>Loại 3</v>
      </c>
      <c r="X1108" s="57"/>
    </row>
    <row r="1109" spans="1:24" ht="15.75" customHeight="1">
      <c r="A1109" s="30">
        <f>_xlfn.AGGREGATE(4,7,A$6:A1108)+1</f>
        <v>848</v>
      </c>
      <c r="B1109" s="54" t="str">
        <f t="shared" si="191"/>
        <v>H. Pác Nặm</v>
      </c>
      <c r="C1109" s="54" t="str">
        <f t="shared" si="194"/>
        <v>X. Cao Tân</v>
      </c>
      <c r="D1109" s="34"/>
      <c r="E1109" s="34" t="s">
        <v>58</v>
      </c>
      <c r="F1109" s="54" t="s">
        <v>1165</v>
      </c>
      <c r="G1109" s="34"/>
      <c r="H1109" s="34" t="str">
        <f>IF(LEFT('PL1(Full)'!$F1109,4)="Thôn","Thôn","Tổ")</f>
        <v>Thôn</v>
      </c>
      <c r="I1109" s="36">
        <v>56</v>
      </c>
      <c r="J1109" s="36">
        <v>283</v>
      </c>
      <c r="K1109" s="36">
        <v>56</v>
      </c>
      <c r="L1109" s="37">
        <f t="shared" si="0"/>
        <v>100</v>
      </c>
      <c r="M1109" s="36">
        <v>26</v>
      </c>
      <c r="N1109" s="38">
        <f t="shared" si="1"/>
        <v>46.428571428571431</v>
      </c>
      <c r="O1109" s="36">
        <v>26</v>
      </c>
      <c r="P1109" s="38">
        <f t="shared" si="2"/>
        <v>100</v>
      </c>
      <c r="Q1109" s="39" t="s">
        <v>43</v>
      </c>
      <c r="R1109" s="39" t="str">
        <f t="shared" si="3"/>
        <v>X</v>
      </c>
      <c r="S1109" s="34" t="s">
        <v>60</v>
      </c>
      <c r="T1109" s="34" t="str">
        <f>IF('PL1(Full)'!$N1109&gt;=20,"x",IF(AND('PL1(Full)'!$N1109&gt;=15,'PL1(Full)'!$P1109&gt;60),"x",""))</f>
        <v>x</v>
      </c>
      <c r="U1109" s="34" t="str">
        <f>IF(AND('PL1(Full)'!$H1109="Thôn",'PL1(Full)'!$I1109&lt;75),"x",IF(AND('PL1(Full)'!$H1109="Tổ",'PL1(Full)'!$I1109&lt;100),"x","-"))</f>
        <v>x</v>
      </c>
      <c r="V1109" s="34" t="str">
        <f>IF(AND('PL1(Full)'!$H1109="Thôn",'PL1(Full)'!$I1109&lt;140),"x",IF(AND('PL1(Full)'!$H1109="Tổ",'PL1(Full)'!$I1109&lt;210),"x","-"))</f>
        <v>x</v>
      </c>
      <c r="W1109" s="40" t="str">
        <f t="shared" si="175"/>
        <v>Loại 3</v>
      </c>
      <c r="X1109" s="57"/>
    </row>
    <row r="1110" spans="1:24" ht="15.75" customHeight="1">
      <c r="A1110" s="30">
        <f>_xlfn.AGGREGATE(4,7,A$6:A1109)+1</f>
        <v>849</v>
      </c>
      <c r="B1110" s="54" t="str">
        <f t="shared" si="191"/>
        <v>H. Pác Nặm</v>
      </c>
      <c r="C1110" s="54" t="str">
        <f t="shared" si="194"/>
        <v>X. Cao Tân</v>
      </c>
      <c r="D1110" s="34"/>
      <c r="E1110" s="34" t="s">
        <v>58</v>
      </c>
      <c r="F1110" s="54" t="s">
        <v>1166</v>
      </c>
      <c r="G1110" s="34"/>
      <c r="H1110" s="34" t="str">
        <f>IF(LEFT('PL1(Full)'!$F1110,4)="Thôn","Thôn","Tổ")</f>
        <v>Thôn</v>
      </c>
      <c r="I1110" s="36">
        <v>67</v>
      </c>
      <c r="J1110" s="36">
        <v>342</v>
      </c>
      <c r="K1110" s="36">
        <v>67</v>
      </c>
      <c r="L1110" s="37">
        <f t="shared" si="0"/>
        <v>100</v>
      </c>
      <c r="M1110" s="36">
        <v>65</v>
      </c>
      <c r="N1110" s="38">
        <f t="shared" si="1"/>
        <v>97.014925373134332</v>
      </c>
      <c r="O1110" s="36">
        <v>65</v>
      </c>
      <c r="P1110" s="38">
        <f t="shared" si="2"/>
        <v>100</v>
      </c>
      <c r="Q1110" s="39" t="s">
        <v>1077</v>
      </c>
      <c r="R1110" s="39" t="str">
        <f t="shared" si="3"/>
        <v>T</v>
      </c>
      <c r="S1110" s="34" t="s">
        <v>60</v>
      </c>
      <c r="T1110" s="34" t="str">
        <f>IF('PL1(Full)'!$N1110&gt;=20,"x",IF(AND('PL1(Full)'!$N1110&gt;=15,'PL1(Full)'!$P1110&gt;60),"x",""))</f>
        <v>x</v>
      </c>
      <c r="U1110" s="34" t="str">
        <f>IF(AND('PL1(Full)'!$H1110="Thôn",'PL1(Full)'!$I1110&lt;75),"x",IF(AND('PL1(Full)'!$H1110="Tổ",'PL1(Full)'!$I1110&lt;100),"x","-"))</f>
        <v>x</v>
      </c>
      <c r="V1110" s="34" t="str">
        <f>IF(AND('PL1(Full)'!$H1110="Thôn",'PL1(Full)'!$I1110&lt;140),"x",IF(AND('PL1(Full)'!$H1110="Tổ",'PL1(Full)'!$I1110&lt;210),"x","-"))</f>
        <v>x</v>
      </c>
      <c r="W1110" s="40" t="str">
        <f t="shared" si="175"/>
        <v>Loại 3</v>
      </c>
      <c r="X1110" s="57"/>
    </row>
    <row r="1111" spans="1:24" ht="15.75" hidden="1" customHeight="1">
      <c r="A1111" s="30">
        <f>_xlfn.AGGREGATE(4,7,A$6:A1110)+1</f>
        <v>850</v>
      </c>
      <c r="B1111" s="54" t="str">
        <f t="shared" si="191"/>
        <v>H. Pác Nặm</v>
      </c>
      <c r="C1111" s="54" t="str">
        <f t="shared" si="194"/>
        <v>X. Cao Tân</v>
      </c>
      <c r="D1111" s="34"/>
      <c r="E1111" s="34" t="s">
        <v>58</v>
      </c>
      <c r="F1111" s="54" t="s">
        <v>1032</v>
      </c>
      <c r="G1111" s="34"/>
      <c r="H1111" s="34" t="str">
        <f>IF(LEFT('PL1(Full)'!$F1111,4)="Thôn","Thôn","Tổ")</f>
        <v>Thôn</v>
      </c>
      <c r="I1111" s="36">
        <v>84</v>
      </c>
      <c r="J1111" s="36">
        <v>372</v>
      </c>
      <c r="K1111" s="36">
        <v>83</v>
      </c>
      <c r="L1111" s="37">
        <f t="shared" si="0"/>
        <v>98.80952380952381</v>
      </c>
      <c r="M1111" s="36">
        <v>5</v>
      </c>
      <c r="N1111" s="38">
        <f t="shared" si="1"/>
        <v>5.9523809523809526</v>
      </c>
      <c r="O1111" s="36">
        <v>5</v>
      </c>
      <c r="P1111" s="38">
        <f t="shared" si="2"/>
        <v>100</v>
      </c>
      <c r="Q1111" s="39" t="s">
        <v>43</v>
      </c>
      <c r="R1111" s="39" t="str">
        <f t="shared" si="3"/>
        <v>X</v>
      </c>
      <c r="S1111" s="34"/>
      <c r="T1111" s="34" t="str">
        <f>IF('PL1(Full)'!$N1111&gt;=20,"x",IF(AND('PL1(Full)'!$N1111&gt;=15,'PL1(Full)'!$P1111&gt;60),"x",""))</f>
        <v/>
      </c>
      <c r="U1111" s="34" t="str">
        <f>IF(AND('PL1(Full)'!$H1111="Thôn",'PL1(Full)'!$I1111&lt;75),"x",IF(AND('PL1(Full)'!$H1111="Tổ",'PL1(Full)'!$I1111&lt;100),"x","-"))</f>
        <v>-</v>
      </c>
      <c r="V1111" s="34" t="str">
        <f>IF(AND('PL1(Full)'!$H1111="Thôn",'PL1(Full)'!$I1111&lt;140),"x",IF(AND('PL1(Full)'!$H1111="Tổ",'PL1(Full)'!$I1111&lt;210),"x","-"))</f>
        <v>x</v>
      </c>
      <c r="W1111" s="40" t="str">
        <f t="shared" si="175"/>
        <v>Loại 3</v>
      </c>
      <c r="X1111" s="57"/>
    </row>
    <row r="1112" spans="1:24" ht="15.75" hidden="1" customHeight="1">
      <c r="A1112" s="30">
        <f>_xlfn.AGGREGATE(4,7,A$6:A1111)+1</f>
        <v>850</v>
      </c>
      <c r="B1112" s="54" t="str">
        <f t="shared" si="191"/>
        <v>H. Pác Nặm</v>
      </c>
      <c r="C1112" s="54" t="str">
        <f t="shared" si="194"/>
        <v>X. Cao Tân</v>
      </c>
      <c r="D1112" s="34"/>
      <c r="E1112" s="34" t="s">
        <v>58</v>
      </c>
      <c r="F1112" s="54" t="s">
        <v>1167</v>
      </c>
      <c r="G1112" s="34"/>
      <c r="H1112" s="34" t="str">
        <f>IF(LEFT('PL1(Full)'!$F1112,4)="Thôn","Thôn","Tổ")</f>
        <v>Thôn</v>
      </c>
      <c r="I1112" s="36">
        <v>91</v>
      </c>
      <c r="J1112" s="36">
        <v>414</v>
      </c>
      <c r="K1112" s="36">
        <v>90</v>
      </c>
      <c r="L1112" s="37">
        <f t="shared" si="0"/>
        <v>98.901098901098905</v>
      </c>
      <c r="M1112" s="36">
        <v>18</v>
      </c>
      <c r="N1112" s="38">
        <f t="shared" si="1"/>
        <v>19.780219780219781</v>
      </c>
      <c r="O1112" s="36">
        <v>18</v>
      </c>
      <c r="P1112" s="38">
        <f t="shared" si="2"/>
        <v>100</v>
      </c>
      <c r="Q1112" s="39" t="s">
        <v>1168</v>
      </c>
      <c r="R1112" s="39" t="str">
        <f t="shared" si="3"/>
        <v>T</v>
      </c>
      <c r="S1112" s="34"/>
      <c r="T1112" s="34" t="str">
        <f>IF('PL1(Full)'!$N1112&gt;=20,"x",IF(AND('PL1(Full)'!$N1112&gt;=15,'PL1(Full)'!$P1112&gt;60),"x",""))</f>
        <v>x</v>
      </c>
      <c r="U1112" s="34" t="str">
        <f>IF(AND('PL1(Full)'!$H1112="Thôn",'PL1(Full)'!$I1112&lt;75),"x",IF(AND('PL1(Full)'!$H1112="Tổ",'PL1(Full)'!$I1112&lt;100),"x","-"))</f>
        <v>-</v>
      </c>
      <c r="V1112" s="34" t="str">
        <f>IF(AND('PL1(Full)'!$H1112="Thôn",'PL1(Full)'!$I1112&lt;140),"x",IF(AND('PL1(Full)'!$H1112="Tổ",'PL1(Full)'!$I1112&lt;210),"x","-"))</f>
        <v>x</v>
      </c>
      <c r="W1112" s="40" t="str">
        <f t="shared" si="175"/>
        <v>Loại 3</v>
      </c>
      <c r="X1112" s="57"/>
    </row>
    <row r="1113" spans="1:24" ht="15.75" hidden="1" customHeight="1">
      <c r="A1113" s="30">
        <f>_xlfn.AGGREGATE(4,7,A$6:A1112)+1</f>
        <v>850</v>
      </c>
      <c r="B1113" s="54" t="str">
        <f t="shared" si="191"/>
        <v>H. Pác Nặm</v>
      </c>
      <c r="C1113" s="54" t="str">
        <f t="shared" si="194"/>
        <v>X. Cao Tân</v>
      </c>
      <c r="D1113" s="34"/>
      <c r="E1113" s="34" t="s">
        <v>58</v>
      </c>
      <c r="F1113" s="54" t="s">
        <v>1169</v>
      </c>
      <c r="G1113" s="34"/>
      <c r="H1113" s="34" t="str">
        <f>IF(LEFT('PL1(Full)'!$F1113,4)="Thôn","Thôn","Tổ")</f>
        <v>Thôn</v>
      </c>
      <c r="I1113" s="36">
        <v>75</v>
      </c>
      <c r="J1113" s="36">
        <v>399</v>
      </c>
      <c r="K1113" s="36">
        <v>75</v>
      </c>
      <c r="L1113" s="37">
        <f t="shared" si="0"/>
        <v>100</v>
      </c>
      <c r="M1113" s="36">
        <v>71</v>
      </c>
      <c r="N1113" s="38">
        <f t="shared" si="1"/>
        <v>94.666666666666671</v>
      </c>
      <c r="O1113" s="36">
        <v>71</v>
      </c>
      <c r="P1113" s="38">
        <f t="shared" si="2"/>
        <v>100</v>
      </c>
      <c r="Q1113" s="39" t="s">
        <v>52</v>
      </c>
      <c r="R1113" s="39" t="str">
        <f t="shared" si="3"/>
        <v>C</v>
      </c>
      <c r="S1113" s="34" t="s">
        <v>60</v>
      </c>
      <c r="T1113" s="34" t="str">
        <f>IF('PL1(Full)'!$N1113&gt;=20,"x",IF(AND('PL1(Full)'!$N1113&gt;=15,'PL1(Full)'!$P1113&gt;60),"x",""))</f>
        <v>x</v>
      </c>
      <c r="U1113" s="34" t="str">
        <f>IF(AND('PL1(Full)'!$H1113="Thôn",'PL1(Full)'!$I1113&lt;75),"x",IF(AND('PL1(Full)'!$H1113="Tổ",'PL1(Full)'!$I1113&lt;100),"x","-"))</f>
        <v>-</v>
      </c>
      <c r="V1113" s="34" t="str">
        <f>IF(AND('PL1(Full)'!$H1113="Thôn",'PL1(Full)'!$I1113&lt;140),"x",IF(AND('PL1(Full)'!$H1113="Tổ",'PL1(Full)'!$I1113&lt;210),"x","-"))</f>
        <v>x</v>
      </c>
      <c r="W1113" s="40" t="str">
        <f t="shared" si="175"/>
        <v>Loại 3</v>
      </c>
      <c r="X1113" s="57"/>
    </row>
    <row r="1114" spans="1:24" ht="15.75" customHeight="1">
      <c r="A1114" s="30">
        <f>_xlfn.AGGREGATE(4,7,A$6:A1113)+1</f>
        <v>850</v>
      </c>
      <c r="B1114" s="54" t="str">
        <f t="shared" si="191"/>
        <v>H. Pác Nặm</v>
      </c>
      <c r="C1114" s="54" t="str">
        <f t="shared" si="194"/>
        <v>X. Cao Tân</v>
      </c>
      <c r="D1114" s="34"/>
      <c r="E1114" s="34" t="s">
        <v>58</v>
      </c>
      <c r="F1114" s="54" t="s">
        <v>1170</v>
      </c>
      <c r="G1114" s="34"/>
      <c r="H1114" s="34" t="str">
        <f>IF(LEFT('PL1(Full)'!$F1114,4)="Thôn","Thôn","Tổ")</f>
        <v>Thôn</v>
      </c>
      <c r="I1114" s="36">
        <v>35</v>
      </c>
      <c r="J1114" s="36">
        <v>182</v>
      </c>
      <c r="K1114" s="36">
        <v>35</v>
      </c>
      <c r="L1114" s="37">
        <f t="shared" si="0"/>
        <v>100</v>
      </c>
      <c r="M1114" s="36">
        <v>21</v>
      </c>
      <c r="N1114" s="38">
        <f t="shared" si="1"/>
        <v>60</v>
      </c>
      <c r="O1114" s="36">
        <v>21</v>
      </c>
      <c r="P1114" s="38">
        <f t="shared" si="2"/>
        <v>100</v>
      </c>
      <c r="Q1114" s="39" t="s">
        <v>52</v>
      </c>
      <c r="R1114" s="39" t="str">
        <f t="shared" si="3"/>
        <v>C</v>
      </c>
      <c r="S1114" s="34" t="s">
        <v>60</v>
      </c>
      <c r="T1114" s="34" t="str">
        <f>IF('PL1(Full)'!$N1114&gt;=20,"x",IF(AND('PL1(Full)'!$N1114&gt;=15,'PL1(Full)'!$P1114&gt;60),"x",""))</f>
        <v>x</v>
      </c>
      <c r="U1114" s="34" t="str">
        <f>IF(AND('PL1(Full)'!$H1114="Thôn",'PL1(Full)'!$I1114&lt;75),"x",IF(AND('PL1(Full)'!$H1114="Tổ",'PL1(Full)'!$I1114&lt;100),"x","-"))</f>
        <v>x</v>
      </c>
      <c r="V1114" s="34" t="str">
        <f>IF(AND('PL1(Full)'!$H1114="Thôn",'PL1(Full)'!$I1114&lt;140),"x",IF(AND('PL1(Full)'!$H1114="Tổ",'PL1(Full)'!$I1114&lt;210),"x","-"))</f>
        <v>x</v>
      </c>
      <c r="W1114" s="40" t="str">
        <f t="shared" si="175"/>
        <v>Loại 3</v>
      </c>
      <c r="X1114" s="57"/>
    </row>
    <row r="1115" spans="1:24" ht="15.75" customHeight="1">
      <c r="A1115" s="30">
        <f>_xlfn.AGGREGATE(4,7,A$6:A1114)+1</f>
        <v>851</v>
      </c>
      <c r="B1115" s="54" t="str">
        <f t="shared" si="191"/>
        <v>H. Pác Nặm</v>
      </c>
      <c r="C1115" s="54" t="str">
        <f t="shared" si="194"/>
        <v>X. Cao Tân</v>
      </c>
      <c r="D1115" s="34"/>
      <c r="E1115" s="34" t="s">
        <v>58</v>
      </c>
      <c r="F1115" s="54" t="s">
        <v>1171</v>
      </c>
      <c r="G1115" s="34"/>
      <c r="H1115" s="34" t="str">
        <f>IF(LEFT('PL1(Full)'!$F1115,4)="Thôn","Thôn","Tổ")</f>
        <v>Thôn</v>
      </c>
      <c r="I1115" s="36">
        <v>40</v>
      </c>
      <c r="J1115" s="36">
        <v>219</v>
      </c>
      <c r="K1115" s="36">
        <v>40</v>
      </c>
      <c r="L1115" s="37">
        <f t="shared" si="0"/>
        <v>100</v>
      </c>
      <c r="M1115" s="36">
        <v>35</v>
      </c>
      <c r="N1115" s="38">
        <f t="shared" si="1"/>
        <v>87.5</v>
      </c>
      <c r="O1115" s="36">
        <v>35</v>
      </c>
      <c r="P1115" s="38">
        <f t="shared" si="2"/>
        <v>100</v>
      </c>
      <c r="Q1115" s="39" t="s">
        <v>117</v>
      </c>
      <c r="R1115" s="39" t="str">
        <f t="shared" si="3"/>
        <v>T</v>
      </c>
      <c r="S1115" s="34" t="s">
        <v>60</v>
      </c>
      <c r="T1115" s="34" t="str">
        <f>IF('PL1(Full)'!$N1115&gt;=20,"x",IF(AND('PL1(Full)'!$N1115&gt;=15,'PL1(Full)'!$P1115&gt;60),"x",""))</f>
        <v>x</v>
      </c>
      <c r="U1115" s="34" t="str">
        <f>IF(AND('PL1(Full)'!$H1115="Thôn",'PL1(Full)'!$I1115&lt;75),"x",IF(AND('PL1(Full)'!$H1115="Tổ",'PL1(Full)'!$I1115&lt;100),"x","-"))</f>
        <v>x</v>
      </c>
      <c r="V1115" s="34" t="str">
        <f>IF(AND('PL1(Full)'!$H1115="Thôn",'PL1(Full)'!$I1115&lt;140),"x",IF(AND('PL1(Full)'!$H1115="Tổ",'PL1(Full)'!$I1115&lt;210),"x","-"))</f>
        <v>x</v>
      </c>
      <c r="W1115" s="40" t="str">
        <f t="shared" si="175"/>
        <v>Loại 3</v>
      </c>
      <c r="X1115" s="57"/>
    </row>
    <row r="1116" spans="1:24" ht="15.75" hidden="1" customHeight="1">
      <c r="A1116" s="30">
        <f>_xlfn.AGGREGATE(4,7,A$6:A1115)+1</f>
        <v>852</v>
      </c>
      <c r="B1116" s="54" t="str">
        <f t="shared" si="191"/>
        <v>H. Pác Nặm</v>
      </c>
      <c r="C1116" s="54" t="str">
        <f t="shared" si="194"/>
        <v>X. Cao Tân</v>
      </c>
      <c r="D1116" s="34"/>
      <c r="E1116" s="34" t="s">
        <v>58</v>
      </c>
      <c r="F1116" s="54" t="s">
        <v>1172</v>
      </c>
      <c r="G1116" s="34"/>
      <c r="H1116" s="34" t="str">
        <f>IF(LEFT('PL1(Full)'!$F1116,4)="Thôn","Thôn","Tổ")</f>
        <v>Thôn</v>
      </c>
      <c r="I1116" s="36">
        <v>94</v>
      </c>
      <c r="J1116" s="36">
        <v>426</v>
      </c>
      <c r="K1116" s="36">
        <v>94</v>
      </c>
      <c r="L1116" s="37">
        <f t="shared" si="0"/>
        <v>100</v>
      </c>
      <c r="M1116" s="36">
        <v>8</v>
      </c>
      <c r="N1116" s="38">
        <f t="shared" si="1"/>
        <v>8.5106382978723403</v>
      </c>
      <c r="O1116" s="36">
        <v>8</v>
      </c>
      <c r="P1116" s="38">
        <f t="shared" si="2"/>
        <v>100</v>
      </c>
      <c r="Q1116" s="39" t="s">
        <v>1168</v>
      </c>
      <c r="R1116" s="39" t="str">
        <f t="shared" si="3"/>
        <v>T</v>
      </c>
      <c r="S1116" s="34"/>
      <c r="T1116" s="34" t="str">
        <f>IF('PL1(Full)'!$N1116&gt;=20,"x",IF(AND('PL1(Full)'!$N1116&gt;=15,'PL1(Full)'!$P1116&gt;60),"x",""))</f>
        <v/>
      </c>
      <c r="U1116" s="34" t="str">
        <f>IF(AND('PL1(Full)'!$H1116="Thôn",'PL1(Full)'!$I1116&lt;75),"x",IF(AND('PL1(Full)'!$H1116="Tổ",'PL1(Full)'!$I1116&lt;100),"x","-"))</f>
        <v>-</v>
      </c>
      <c r="V1116" s="34" t="str">
        <f>IF(AND('PL1(Full)'!$H1116="Thôn",'PL1(Full)'!$I1116&lt;140),"x",IF(AND('PL1(Full)'!$H1116="Tổ",'PL1(Full)'!$I1116&lt;210),"x","-"))</f>
        <v>x</v>
      </c>
      <c r="W1116" s="40" t="str">
        <f t="shared" si="175"/>
        <v>Loại 3</v>
      </c>
      <c r="X1116" s="57"/>
    </row>
    <row r="1117" spans="1:24" ht="15.75" customHeight="1">
      <c r="A1117" s="30">
        <f>_xlfn.AGGREGATE(4,7,A$6:A1116)+1</f>
        <v>852</v>
      </c>
      <c r="B1117" s="54" t="str">
        <f t="shared" si="191"/>
        <v>H. Pác Nặm</v>
      </c>
      <c r="C1117" s="54" t="str">
        <f t="shared" si="194"/>
        <v>X. Cao Tân</v>
      </c>
      <c r="D1117" s="34"/>
      <c r="E1117" s="34" t="s">
        <v>58</v>
      </c>
      <c r="F1117" s="54" t="s">
        <v>1173</v>
      </c>
      <c r="G1117" s="34"/>
      <c r="H1117" s="34" t="str">
        <f>IF(LEFT('PL1(Full)'!$F1117,4)="Thôn","Thôn","Tổ")</f>
        <v>Thôn</v>
      </c>
      <c r="I1117" s="36">
        <v>55</v>
      </c>
      <c r="J1117" s="36">
        <v>261</v>
      </c>
      <c r="K1117" s="36">
        <v>55</v>
      </c>
      <c r="L1117" s="37">
        <f t="shared" si="0"/>
        <v>100</v>
      </c>
      <c r="M1117" s="36">
        <v>51</v>
      </c>
      <c r="N1117" s="38">
        <f t="shared" si="1"/>
        <v>92.727272727272734</v>
      </c>
      <c r="O1117" s="36">
        <v>51</v>
      </c>
      <c r="P1117" s="38">
        <f t="shared" si="2"/>
        <v>100</v>
      </c>
      <c r="Q1117" s="39" t="s">
        <v>996</v>
      </c>
      <c r="R1117" s="39" t="str">
        <f t="shared" si="3"/>
        <v>T</v>
      </c>
      <c r="S1117" s="34" t="s">
        <v>60</v>
      </c>
      <c r="T1117" s="34" t="str">
        <f>IF('PL1(Full)'!$N1117&gt;=20,"x",IF(AND('PL1(Full)'!$N1117&gt;=15,'PL1(Full)'!$P1117&gt;60),"x",""))</f>
        <v>x</v>
      </c>
      <c r="U1117" s="34" t="str">
        <f>IF(AND('PL1(Full)'!$H1117="Thôn",'PL1(Full)'!$I1117&lt;75),"x",IF(AND('PL1(Full)'!$H1117="Tổ",'PL1(Full)'!$I1117&lt;100),"x","-"))</f>
        <v>x</v>
      </c>
      <c r="V1117" s="34" t="str">
        <f>IF(AND('PL1(Full)'!$H1117="Thôn",'PL1(Full)'!$I1117&lt;140),"x",IF(AND('PL1(Full)'!$H1117="Tổ",'PL1(Full)'!$I1117&lt;210),"x","-"))</f>
        <v>x</v>
      </c>
      <c r="W1117" s="40" t="str">
        <f t="shared" si="175"/>
        <v>Loại 3</v>
      </c>
      <c r="X1117" s="57"/>
    </row>
    <row r="1118" spans="1:24" ht="15.75" hidden="1" customHeight="1">
      <c r="A1118" s="30">
        <f>_xlfn.AGGREGATE(4,7,A$6:A1117)+1</f>
        <v>853</v>
      </c>
      <c r="B1118" s="54" t="str">
        <f t="shared" si="191"/>
        <v>H. Pác Nặm</v>
      </c>
      <c r="C1118" s="54" t="str">
        <f t="shared" si="194"/>
        <v>X. Cao Tân</v>
      </c>
      <c r="D1118" s="34"/>
      <c r="E1118" s="34" t="s">
        <v>58</v>
      </c>
      <c r="F1118" s="54" t="s">
        <v>1174</v>
      </c>
      <c r="G1118" s="34"/>
      <c r="H1118" s="34" t="str">
        <f>IF(LEFT('PL1(Full)'!$F1118,4)="Thôn","Thôn","Tổ")</f>
        <v>Thôn</v>
      </c>
      <c r="I1118" s="36">
        <v>86</v>
      </c>
      <c r="J1118" s="36">
        <v>493</v>
      </c>
      <c r="K1118" s="36">
        <v>86</v>
      </c>
      <c r="L1118" s="37">
        <f t="shared" si="0"/>
        <v>100</v>
      </c>
      <c r="M1118" s="36">
        <v>85</v>
      </c>
      <c r="N1118" s="38">
        <f t="shared" si="1"/>
        <v>98.837209302325576</v>
      </c>
      <c r="O1118" s="36">
        <v>85</v>
      </c>
      <c r="P1118" s="38">
        <f t="shared" si="2"/>
        <v>100</v>
      </c>
      <c r="Q1118" s="39" t="s">
        <v>52</v>
      </c>
      <c r="R1118" s="39" t="str">
        <f t="shared" si="3"/>
        <v>C</v>
      </c>
      <c r="S1118" s="34" t="s">
        <v>60</v>
      </c>
      <c r="T1118" s="34" t="str">
        <f>IF('PL1(Full)'!$N1118&gt;=20,"x",IF(AND('PL1(Full)'!$N1118&gt;=15,'PL1(Full)'!$P1118&gt;60),"x",""))</f>
        <v>x</v>
      </c>
      <c r="U1118" s="34" t="str">
        <f>IF(AND('PL1(Full)'!$H1118="Thôn",'PL1(Full)'!$I1118&lt;75),"x",IF(AND('PL1(Full)'!$H1118="Tổ",'PL1(Full)'!$I1118&lt;100),"x","-"))</f>
        <v>-</v>
      </c>
      <c r="V1118" s="34" t="str">
        <f>IF(AND('PL1(Full)'!$H1118="Thôn",'PL1(Full)'!$I1118&lt;140),"x",IF(AND('PL1(Full)'!$H1118="Tổ",'PL1(Full)'!$I1118&lt;210),"x","-"))</f>
        <v>x</v>
      </c>
      <c r="W1118" s="40" t="str">
        <f t="shared" si="175"/>
        <v>Loại 3</v>
      </c>
      <c r="X1118" s="57"/>
    </row>
    <row r="1119" spans="1:24" ht="15.75" customHeight="1">
      <c r="A1119" s="30">
        <f>_xlfn.AGGREGATE(4,7,A$6:A1118)+1</f>
        <v>853</v>
      </c>
      <c r="B1119" s="54" t="str">
        <f t="shared" si="191"/>
        <v>H. Pác Nặm</v>
      </c>
      <c r="C1119" s="54" t="str">
        <f t="shared" si="194"/>
        <v>X. Cao Tân</v>
      </c>
      <c r="D1119" s="34"/>
      <c r="E1119" s="34" t="s">
        <v>58</v>
      </c>
      <c r="F1119" s="54" t="s">
        <v>1175</v>
      </c>
      <c r="G1119" s="34"/>
      <c r="H1119" s="34" t="str">
        <f>IF(LEFT('PL1(Full)'!$F1119,4)="Thôn","Thôn","Tổ")</f>
        <v>Thôn</v>
      </c>
      <c r="I1119" s="36">
        <v>41</v>
      </c>
      <c r="J1119" s="36">
        <v>194</v>
      </c>
      <c r="K1119" s="36">
        <v>41</v>
      </c>
      <c r="L1119" s="37">
        <f t="shared" si="0"/>
        <v>100</v>
      </c>
      <c r="M1119" s="36">
        <v>5</v>
      </c>
      <c r="N1119" s="38">
        <f t="shared" si="1"/>
        <v>12.195121951219512</v>
      </c>
      <c r="O1119" s="36">
        <v>5</v>
      </c>
      <c r="P1119" s="38">
        <f t="shared" si="2"/>
        <v>100</v>
      </c>
      <c r="Q1119" s="39" t="s">
        <v>117</v>
      </c>
      <c r="R1119" s="39" t="str">
        <f t="shared" si="3"/>
        <v>T</v>
      </c>
      <c r="S1119" s="34"/>
      <c r="T1119" s="34" t="str">
        <f>IF('PL1(Full)'!$N1119&gt;=20,"x",IF(AND('PL1(Full)'!$N1119&gt;=15,'PL1(Full)'!$P1119&gt;60),"x",""))</f>
        <v/>
      </c>
      <c r="U1119" s="34" t="str">
        <f>IF(AND('PL1(Full)'!$H1119="Thôn",'PL1(Full)'!$I1119&lt;75),"x",IF(AND('PL1(Full)'!$H1119="Tổ",'PL1(Full)'!$I1119&lt;100),"x","-"))</f>
        <v>x</v>
      </c>
      <c r="V1119" s="34" t="str">
        <f>IF(AND('PL1(Full)'!$H1119="Thôn",'PL1(Full)'!$I1119&lt;140),"x",IF(AND('PL1(Full)'!$H1119="Tổ",'PL1(Full)'!$I1119&lt;210),"x","-"))</f>
        <v>x</v>
      </c>
      <c r="W1119" s="40" t="str">
        <f t="shared" si="175"/>
        <v>Loại 3</v>
      </c>
      <c r="X1119" s="57"/>
    </row>
    <row r="1120" spans="1:24" ht="15.75" customHeight="1">
      <c r="A1120" s="41">
        <f>_xlfn.AGGREGATE(4,7,A$6:A1119)+1</f>
        <v>854</v>
      </c>
      <c r="B1120" s="55" t="str">
        <f t="shared" si="191"/>
        <v>H. Pác Nặm</v>
      </c>
      <c r="C1120" s="55" t="str">
        <f t="shared" si="194"/>
        <v>X. Cao Tân</v>
      </c>
      <c r="D1120" s="50"/>
      <c r="E1120" s="50" t="s">
        <v>58</v>
      </c>
      <c r="F1120" s="55" t="s">
        <v>1176</v>
      </c>
      <c r="G1120" s="50"/>
      <c r="H1120" s="50" t="str">
        <f>IF(LEFT('PL1(Full)'!$F1120,4)="Thôn","Thôn","Tổ")</f>
        <v>Thôn</v>
      </c>
      <c r="I1120" s="46">
        <v>71</v>
      </c>
      <c r="J1120" s="46">
        <v>373</v>
      </c>
      <c r="K1120" s="46">
        <v>71</v>
      </c>
      <c r="L1120" s="47">
        <f t="shared" si="0"/>
        <v>100</v>
      </c>
      <c r="M1120" s="46">
        <v>68</v>
      </c>
      <c r="N1120" s="48">
        <f t="shared" si="1"/>
        <v>95.774647887323937</v>
      </c>
      <c r="O1120" s="46">
        <v>68</v>
      </c>
      <c r="P1120" s="48">
        <f t="shared" si="2"/>
        <v>100</v>
      </c>
      <c r="Q1120" s="49" t="s">
        <v>1077</v>
      </c>
      <c r="R1120" s="49" t="str">
        <f t="shared" si="3"/>
        <v>T</v>
      </c>
      <c r="S1120" s="50" t="s">
        <v>60</v>
      </c>
      <c r="T1120" s="50" t="str">
        <f>IF('PL1(Full)'!$N1120&gt;=20,"x",IF(AND('PL1(Full)'!$N1120&gt;=15,'PL1(Full)'!$P1120&gt;60),"x",""))</f>
        <v>x</v>
      </c>
      <c r="U1120" s="50" t="str">
        <f>IF(AND('PL1(Full)'!$H1120="Thôn",'PL1(Full)'!$I1120&lt;75),"x",IF(AND('PL1(Full)'!$H1120="Tổ",'PL1(Full)'!$I1120&lt;100),"x","-"))</f>
        <v>x</v>
      </c>
      <c r="V1120" s="34" t="str">
        <f>IF(AND('PL1(Full)'!$H1120="Thôn",'PL1(Full)'!$I1120&lt;140),"x",IF(AND('PL1(Full)'!$H1120="Tổ",'PL1(Full)'!$I1120&lt;210),"x","-"))</f>
        <v>x</v>
      </c>
      <c r="W1120" s="51" t="str">
        <f t="shared" si="175"/>
        <v>Loại 3</v>
      </c>
      <c r="X1120" s="58"/>
    </row>
    <row r="1121" spans="1:24" ht="15.75" hidden="1" customHeight="1">
      <c r="A1121" s="52">
        <f>_xlfn.AGGREGATE(4,7,A$6:A1120)+1</f>
        <v>855</v>
      </c>
      <c r="B1121" s="53" t="str">
        <f t="shared" si="191"/>
        <v>H. Pác Nặm</v>
      </c>
      <c r="C1121" s="14" t="s">
        <v>1177</v>
      </c>
      <c r="D1121" s="15" t="s">
        <v>58</v>
      </c>
      <c r="E1121" s="16" t="s">
        <v>58</v>
      </c>
      <c r="F1121" s="65" t="s">
        <v>1178</v>
      </c>
      <c r="G1121" s="18"/>
      <c r="H1121" s="18" t="str">
        <f>IF(LEFT('PL1(Full)'!$F1121,4)="Thôn","Thôn","Tổ")</f>
        <v>Thôn</v>
      </c>
      <c r="I1121" s="19">
        <v>115</v>
      </c>
      <c r="J1121" s="19">
        <v>563</v>
      </c>
      <c r="K1121" s="19">
        <v>115</v>
      </c>
      <c r="L1121" s="21">
        <f t="shared" si="0"/>
        <v>100</v>
      </c>
      <c r="M1121" s="19">
        <v>51</v>
      </c>
      <c r="N1121" s="22">
        <f t="shared" si="1"/>
        <v>44.347826086956523</v>
      </c>
      <c r="O1121" s="19">
        <v>51</v>
      </c>
      <c r="P1121" s="22">
        <f t="shared" si="2"/>
        <v>100</v>
      </c>
      <c r="Q1121" s="87" t="s">
        <v>1168</v>
      </c>
      <c r="R1121" s="87" t="str">
        <f t="shared" si="3"/>
        <v>T</v>
      </c>
      <c r="S1121" s="18" t="s">
        <v>60</v>
      </c>
      <c r="T1121" s="26" t="str">
        <f>IF('PL1(Full)'!$N1121&gt;=20,"x",IF(AND('PL1(Full)'!$N1121&gt;=15,'PL1(Full)'!$P1121&gt;60),"x",""))</f>
        <v>x</v>
      </c>
      <c r="U1121" s="27" t="str">
        <f>IF(AND('PL1(Full)'!$H1121="Thôn",'PL1(Full)'!$I1121&lt;75),"x",IF(AND('PL1(Full)'!$H1121="Tổ",'PL1(Full)'!$I1121&lt;100),"x","-"))</f>
        <v>-</v>
      </c>
      <c r="V1121" s="28" t="str">
        <f>IF(AND('PL1(Full)'!$H1121="Thôn",'PL1(Full)'!$I1121&lt;140),"x",IF(AND('PL1(Full)'!$H1121="Tổ",'PL1(Full)'!$I1121&lt;210),"x","-"))</f>
        <v>x</v>
      </c>
      <c r="W1121" s="29" t="str">
        <f t="shared" si="175"/>
        <v>Loại 2</v>
      </c>
      <c r="X1121" s="18"/>
    </row>
    <row r="1122" spans="1:24" ht="15.75" hidden="1" customHeight="1">
      <c r="A1122" s="30">
        <f>_xlfn.AGGREGATE(4,7,A$6:A1121)+1</f>
        <v>855</v>
      </c>
      <c r="B1122" s="54" t="str">
        <f t="shared" si="191"/>
        <v>H. Pác Nặm</v>
      </c>
      <c r="C1122" s="54" t="str">
        <f t="shared" ref="C1122:C1132" si="195">C1121</f>
        <v>X. Cổ Linh</v>
      </c>
      <c r="D1122" s="32"/>
      <c r="E1122" s="32" t="s">
        <v>58</v>
      </c>
      <c r="F1122" s="66" t="s">
        <v>1179</v>
      </c>
      <c r="G1122" s="32"/>
      <c r="H1122" s="32" t="str">
        <f>IF(LEFT('PL1(Full)'!$F1122,4)="Thôn","Thôn","Tổ")</f>
        <v>Thôn</v>
      </c>
      <c r="I1122" s="35">
        <v>81</v>
      </c>
      <c r="J1122" s="35">
        <v>383</v>
      </c>
      <c r="K1122" s="35">
        <v>81</v>
      </c>
      <c r="L1122" s="37">
        <f t="shared" si="0"/>
        <v>100</v>
      </c>
      <c r="M1122" s="35">
        <v>19</v>
      </c>
      <c r="N1122" s="38">
        <f t="shared" si="1"/>
        <v>23.456790123456791</v>
      </c>
      <c r="O1122" s="35">
        <v>19</v>
      </c>
      <c r="P1122" s="38">
        <f t="shared" si="2"/>
        <v>100</v>
      </c>
      <c r="Q1122" s="88" t="s">
        <v>1168</v>
      </c>
      <c r="R1122" s="88" t="str">
        <f t="shared" si="3"/>
        <v>T</v>
      </c>
      <c r="S1122" s="32"/>
      <c r="T1122" s="34" t="str">
        <f>IF('PL1(Full)'!$N1122&gt;=20,"x",IF(AND('PL1(Full)'!$N1122&gt;=15,'PL1(Full)'!$P1122&gt;60),"x",""))</f>
        <v>x</v>
      </c>
      <c r="U1122" s="34" t="str">
        <f>IF(AND('PL1(Full)'!$H1122="Thôn",'PL1(Full)'!$I1122&lt;75),"x",IF(AND('PL1(Full)'!$H1122="Tổ",'PL1(Full)'!$I1122&lt;100),"x","-"))</f>
        <v>-</v>
      </c>
      <c r="V1122" s="34" t="str">
        <f>IF(AND('PL1(Full)'!$H1122="Thôn",'PL1(Full)'!$I1122&lt;140),"x",IF(AND('PL1(Full)'!$H1122="Tổ",'PL1(Full)'!$I1122&lt;210),"x","-"))</f>
        <v>x</v>
      </c>
      <c r="W1122" s="40" t="str">
        <f t="shared" si="175"/>
        <v>Loại 3</v>
      </c>
      <c r="X1122" s="32"/>
    </row>
    <row r="1123" spans="1:24" ht="15.75" hidden="1" customHeight="1">
      <c r="A1123" s="30">
        <f>_xlfn.AGGREGATE(4,7,A$6:A1122)+1</f>
        <v>855</v>
      </c>
      <c r="B1123" s="54" t="str">
        <f t="shared" si="191"/>
        <v>H. Pác Nặm</v>
      </c>
      <c r="C1123" s="54" t="str">
        <f t="shared" si="195"/>
        <v>X. Cổ Linh</v>
      </c>
      <c r="D1123" s="32"/>
      <c r="E1123" s="32" t="s">
        <v>58</v>
      </c>
      <c r="F1123" s="66" t="s">
        <v>1180</v>
      </c>
      <c r="G1123" s="32"/>
      <c r="H1123" s="32" t="str">
        <f>IF(LEFT('PL1(Full)'!$F1123,4)="Thôn","Thôn","Tổ")</f>
        <v>Thôn</v>
      </c>
      <c r="I1123" s="35">
        <v>104</v>
      </c>
      <c r="J1123" s="35">
        <v>488</v>
      </c>
      <c r="K1123" s="35">
        <v>104</v>
      </c>
      <c r="L1123" s="37">
        <f t="shared" si="0"/>
        <v>100</v>
      </c>
      <c r="M1123" s="35">
        <v>6</v>
      </c>
      <c r="N1123" s="38">
        <f t="shared" si="1"/>
        <v>5.7692307692307692</v>
      </c>
      <c r="O1123" s="35">
        <v>6</v>
      </c>
      <c r="P1123" s="38">
        <f t="shared" si="2"/>
        <v>100</v>
      </c>
      <c r="Q1123" s="88" t="s">
        <v>1168</v>
      </c>
      <c r="R1123" s="88" t="str">
        <f t="shared" si="3"/>
        <v>T</v>
      </c>
      <c r="S1123" s="32"/>
      <c r="T1123" s="34" t="str">
        <f>IF('PL1(Full)'!$N1123&gt;=20,"x",IF(AND('PL1(Full)'!$N1123&gt;=15,'PL1(Full)'!$P1123&gt;60),"x",""))</f>
        <v/>
      </c>
      <c r="U1123" s="34" t="str">
        <f>IF(AND('PL1(Full)'!$H1123="Thôn",'PL1(Full)'!$I1123&lt;75),"x",IF(AND('PL1(Full)'!$H1123="Tổ",'PL1(Full)'!$I1123&lt;100),"x","-"))</f>
        <v>-</v>
      </c>
      <c r="V1123" s="34" t="str">
        <f>IF(AND('PL1(Full)'!$H1123="Thôn",'PL1(Full)'!$I1123&lt;140),"x",IF(AND('PL1(Full)'!$H1123="Tổ",'PL1(Full)'!$I1123&lt;210),"x","-"))</f>
        <v>x</v>
      </c>
      <c r="W1123" s="40" t="str">
        <f t="shared" si="175"/>
        <v>Loại 2</v>
      </c>
      <c r="X1123" s="32"/>
    </row>
    <row r="1124" spans="1:24" ht="15.75" hidden="1" customHeight="1">
      <c r="A1124" s="30">
        <f>_xlfn.AGGREGATE(4,7,A$6:A1123)+1</f>
        <v>855</v>
      </c>
      <c r="B1124" s="54" t="str">
        <f t="shared" si="191"/>
        <v>H. Pác Nặm</v>
      </c>
      <c r="C1124" s="54" t="str">
        <f t="shared" si="195"/>
        <v>X. Cổ Linh</v>
      </c>
      <c r="D1124" s="32"/>
      <c r="E1124" s="32" t="s">
        <v>58</v>
      </c>
      <c r="F1124" s="66" t="s">
        <v>1181</v>
      </c>
      <c r="G1124" s="32"/>
      <c r="H1124" s="32" t="str">
        <f>IF(LEFT('PL1(Full)'!$F1124,4)="Thôn","Thôn","Tổ")</f>
        <v>Thôn</v>
      </c>
      <c r="I1124" s="35">
        <v>106</v>
      </c>
      <c r="J1124" s="35">
        <v>532</v>
      </c>
      <c r="K1124" s="35">
        <v>106</v>
      </c>
      <c r="L1124" s="37">
        <f t="shared" si="0"/>
        <v>100</v>
      </c>
      <c r="M1124" s="35">
        <v>98</v>
      </c>
      <c r="N1124" s="38">
        <f t="shared" si="1"/>
        <v>92.452830188679243</v>
      </c>
      <c r="O1124" s="35">
        <v>98</v>
      </c>
      <c r="P1124" s="38">
        <f t="shared" si="2"/>
        <v>100</v>
      </c>
      <c r="Q1124" s="88" t="s">
        <v>1168</v>
      </c>
      <c r="R1124" s="88" t="str">
        <f t="shared" si="3"/>
        <v>T</v>
      </c>
      <c r="S1124" s="32" t="s">
        <v>60</v>
      </c>
      <c r="T1124" s="34" t="str">
        <f>IF('PL1(Full)'!$N1124&gt;=20,"x",IF(AND('PL1(Full)'!$N1124&gt;=15,'PL1(Full)'!$P1124&gt;60),"x",""))</f>
        <v>x</v>
      </c>
      <c r="U1124" s="34" t="str">
        <f>IF(AND('PL1(Full)'!$H1124="Thôn",'PL1(Full)'!$I1124&lt;75),"x",IF(AND('PL1(Full)'!$H1124="Tổ",'PL1(Full)'!$I1124&lt;100),"x","-"))</f>
        <v>-</v>
      </c>
      <c r="V1124" s="34" t="str">
        <f>IF(AND('PL1(Full)'!$H1124="Thôn",'PL1(Full)'!$I1124&lt;140),"x",IF(AND('PL1(Full)'!$H1124="Tổ",'PL1(Full)'!$I1124&lt;210),"x","-"))</f>
        <v>x</v>
      </c>
      <c r="W1124" s="40" t="str">
        <f t="shared" si="175"/>
        <v>Loại 2</v>
      </c>
      <c r="X1124" s="32"/>
    </row>
    <row r="1125" spans="1:24" ht="15.75" hidden="1" customHeight="1">
      <c r="A1125" s="30">
        <f>_xlfn.AGGREGATE(4,7,A$6:A1124)+1</f>
        <v>855</v>
      </c>
      <c r="B1125" s="54" t="str">
        <f t="shared" si="191"/>
        <v>H. Pác Nặm</v>
      </c>
      <c r="C1125" s="54" t="str">
        <f t="shared" si="195"/>
        <v>X. Cổ Linh</v>
      </c>
      <c r="D1125" s="32"/>
      <c r="E1125" s="32" t="s">
        <v>58</v>
      </c>
      <c r="F1125" s="66" t="s">
        <v>1182</v>
      </c>
      <c r="G1125" s="32"/>
      <c r="H1125" s="32" t="str">
        <f>IF(LEFT('PL1(Full)'!$F1125,4)="Thôn","Thôn","Tổ")</f>
        <v>Thôn</v>
      </c>
      <c r="I1125" s="35">
        <v>106</v>
      </c>
      <c r="J1125" s="35">
        <v>500</v>
      </c>
      <c r="K1125" s="35">
        <v>106</v>
      </c>
      <c r="L1125" s="37">
        <f t="shared" si="0"/>
        <v>100</v>
      </c>
      <c r="M1125" s="35">
        <v>73</v>
      </c>
      <c r="N1125" s="38">
        <f t="shared" si="1"/>
        <v>68.867924528301884</v>
      </c>
      <c r="O1125" s="35">
        <v>73</v>
      </c>
      <c r="P1125" s="38">
        <f t="shared" si="2"/>
        <v>100</v>
      </c>
      <c r="Q1125" s="88" t="s">
        <v>1183</v>
      </c>
      <c r="R1125" s="88" t="str">
        <f t="shared" si="3"/>
        <v>T</v>
      </c>
      <c r="S1125" s="32" t="s">
        <v>60</v>
      </c>
      <c r="T1125" s="34" t="str">
        <f>IF('PL1(Full)'!$N1125&gt;=20,"x",IF(AND('PL1(Full)'!$N1125&gt;=15,'PL1(Full)'!$P1125&gt;60),"x",""))</f>
        <v>x</v>
      </c>
      <c r="U1125" s="34" t="str">
        <f>IF(AND('PL1(Full)'!$H1125="Thôn",'PL1(Full)'!$I1125&lt;75),"x",IF(AND('PL1(Full)'!$H1125="Tổ",'PL1(Full)'!$I1125&lt;100),"x","-"))</f>
        <v>-</v>
      </c>
      <c r="V1125" s="34" t="str">
        <f>IF(AND('PL1(Full)'!$H1125="Thôn",'PL1(Full)'!$I1125&lt;140),"x",IF(AND('PL1(Full)'!$H1125="Tổ",'PL1(Full)'!$I1125&lt;210),"x","-"))</f>
        <v>x</v>
      </c>
      <c r="W1125" s="40" t="str">
        <f t="shared" si="175"/>
        <v>Loại 2</v>
      </c>
      <c r="X1125" s="32"/>
    </row>
    <row r="1126" spans="1:24" ht="15.75" customHeight="1">
      <c r="A1126" s="30">
        <f>_xlfn.AGGREGATE(4,7,A$6:A1125)+1</f>
        <v>855</v>
      </c>
      <c r="B1126" s="54" t="str">
        <f t="shared" si="191"/>
        <v>H. Pác Nặm</v>
      </c>
      <c r="C1126" s="54" t="str">
        <f t="shared" si="195"/>
        <v>X. Cổ Linh</v>
      </c>
      <c r="D1126" s="32"/>
      <c r="E1126" s="32" t="s">
        <v>58</v>
      </c>
      <c r="F1126" s="66" t="s">
        <v>1184</v>
      </c>
      <c r="G1126" s="32"/>
      <c r="H1126" s="32" t="str">
        <f>IF(LEFT('PL1(Full)'!$F1126,4)="Thôn","Thôn","Tổ")</f>
        <v>Thôn</v>
      </c>
      <c r="I1126" s="35">
        <v>57</v>
      </c>
      <c r="J1126" s="35">
        <v>278</v>
      </c>
      <c r="K1126" s="35">
        <v>57</v>
      </c>
      <c r="L1126" s="37">
        <f t="shared" si="0"/>
        <v>100</v>
      </c>
      <c r="M1126" s="35">
        <v>50</v>
      </c>
      <c r="N1126" s="38">
        <f t="shared" si="1"/>
        <v>87.719298245614041</v>
      </c>
      <c r="O1126" s="35">
        <v>50</v>
      </c>
      <c r="P1126" s="38">
        <f t="shared" si="2"/>
        <v>100</v>
      </c>
      <c r="Q1126" s="88" t="s">
        <v>1168</v>
      </c>
      <c r="R1126" s="88" t="str">
        <f t="shared" si="3"/>
        <v>T</v>
      </c>
      <c r="S1126" s="32" t="s">
        <v>60</v>
      </c>
      <c r="T1126" s="34" t="str">
        <f>IF('PL1(Full)'!$N1126&gt;=20,"x",IF(AND('PL1(Full)'!$N1126&gt;=15,'PL1(Full)'!$P1126&gt;60),"x",""))</f>
        <v>x</v>
      </c>
      <c r="U1126" s="34" t="str">
        <f>IF(AND('PL1(Full)'!$H1126="Thôn",'PL1(Full)'!$I1126&lt;75),"x",IF(AND('PL1(Full)'!$H1126="Tổ",'PL1(Full)'!$I1126&lt;100),"x","-"))</f>
        <v>x</v>
      </c>
      <c r="V1126" s="34" t="str">
        <f>IF(AND('PL1(Full)'!$H1126="Thôn",'PL1(Full)'!$I1126&lt;140),"x",IF(AND('PL1(Full)'!$H1126="Tổ",'PL1(Full)'!$I1126&lt;210),"x","-"))</f>
        <v>x</v>
      </c>
      <c r="W1126" s="40" t="str">
        <f t="shared" si="175"/>
        <v>Loại 3</v>
      </c>
      <c r="X1126" s="32"/>
    </row>
    <row r="1127" spans="1:24" ht="15.75" customHeight="1">
      <c r="A1127" s="30">
        <f>_xlfn.AGGREGATE(4,7,A$6:A1126)+1</f>
        <v>856</v>
      </c>
      <c r="B1127" s="54" t="str">
        <f t="shared" si="191"/>
        <v>H. Pác Nặm</v>
      </c>
      <c r="C1127" s="54" t="str">
        <f t="shared" si="195"/>
        <v>X. Cổ Linh</v>
      </c>
      <c r="D1127" s="32"/>
      <c r="E1127" s="32" t="s">
        <v>58</v>
      </c>
      <c r="F1127" s="66" t="s">
        <v>1185</v>
      </c>
      <c r="G1127" s="32"/>
      <c r="H1127" s="32" t="str">
        <f>IF(LEFT('PL1(Full)'!$F1127,4)="Thôn","Thôn","Tổ")</f>
        <v>Thôn</v>
      </c>
      <c r="I1127" s="35">
        <v>56</v>
      </c>
      <c r="J1127" s="35">
        <v>295</v>
      </c>
      <c r="K1127" s="35">
        <v>56</v>
      </c>
      <c r="L1127" s="37">
        <f t="shared" si="0"/>
        <v>100</v>
      </c>
      <c r="M1127" s="35">
        <v>40</v>
      </c>
      <c r="N1127" s="38">
        <f t="shared" si="1"/>
        <v>71.428571428571431</v>
      </c>
      <c r="O1127" s="35">
        <v>38</v>
      </c>
      <c r="P1127" s="38">
        <f t="shared" si="2"/>
        <v>95</v>
      </c>
      <c r="Q1127" s="88" t="s">
        <v>52</v>
      </c>
      <c r="R1127" s="88" t="str">
        <f t="shared" si="3"/>
        <v>C</v>
      </c>
      <c r="S1127" s="32" t="s">
        <v>60</v>
      </c>
      <c r="T1127" s="34" t="str">
        <f>IF('PL1(Full)'!$N1127&gt;=20,"x",IF(AND('PL1(Full)'!$N1127&gt;=15,'PL1(Full)'!$P1127&gt;60),"x",""))</f>
        <v>x</v>
      </c>
      <c r="U1127" s="34" t="str">
        <f>IF(AND('PL1(Full)'!$H1127="Thôn",'PL1(Full)'!$I1127&lt;75),"x",IF(AND('PL1(Full)'!$H1127="Tổ",'PL1(Full)'!$I1127&lt;100),"x","-"))</f>
        <v>x</v>
      </c>
      <c r="V1127" s="34" t="str">
        <f>IF(AND('PL1(Full)'!$H1127="Thôn",'PL1(Full)'!$I1127&lt;140),"x",IF(AND('PL1(Full)'!$H1127="Tổ",'PL1(Full)'!$I1127&lt;210),"x","-"))</f>
        <v>x</v>
      </c>
      <c r="W1127" s="40" t="str">
        <f t="shared" si="175"/>
        <v>Loại 3</v>
      </c>
      <c r="X1127" s="32"/>
    </row>
    <row r="1128" spans="1:24" ht="15.75" hidden="1" customHeight="1">
      <c r="A1128" s="30">
        <f>_xlfn.AGGREGATE(4,7,A$6:A1127)+1</f>
        <v>857</v>
      </c>
      <c r="B1128" s="54" t="str">
        <f t="shared" si="191"/>
        <v>H. Pác Nặm</v>
      </c>
      <c r="C1128" s="54" t="str">
        <f t="shared" si="195"/>
        <v>X. Cổ Linh</v>
      </c>
      <c r="D1128" s="32"/>
      <c r="E1128" s="32" t="s">
        <v>58</v>
      </c>
      <c r="F1128" s="66" t="s">
        <v>1186</v>
      </c>
      <c r="G1128" s="32"/>
      <c r="H1128" s="32" t="str">
        <f>IF(LEFT('PL1(Full)'!$F1128,4)="Thôn","Thôn","Tổ")</f>
        <v>Thôn</v>
      </c>
      <c r="I1128" s="35">
        <v>99</v>
      </c>
      <c r="J1128" s="35">
        <v>481</v>
      </c>
      <c r="K1128" s="35">
        <v>99</v>
      </c>
      <c r="L1128" s="37">
        <f t="shared" si="0"/>
        <v>100</v>
      </c>
      <c r="M1128" s="35">
        <v>83</v>
      </c>
      <c r="N1128" s="38">
        <f t="shared" si="1"/>
        <v>83.838383838383834</v>
      </c>
      <c r="O1128" s="35">
        <v>83</v>
      </c>
      <c r="P1128" s="38">
        <f t="shared" si="2"/>
        <v>100</v>
      </c>
      <c r="Q1128" s="88" t="s">
        <v>1183</v>
      </c>
      <c r="R1128" s="88" t="str">
        <f t="shared" si="3"/>
        <v>T</v>
      </c>
      <c r="S1128" s="32" t="s">
        <v>60</v>
      </c>
      <c r="T1128" s="34" t="str">
        <f>IF('PL1(Full)'!$N1128&gt;=20,"x",IF(AND('PL1(Full)'!$N1128&gt;=15,'PL1(Full)'!$P1128&gt;60),"x",""))</f>
        <v>x</v>
      </c>
      <c r="U1128" s="34" t="str">
        <f>IF(AND('PL1(Full)'!$H1128="Thôn",'PL1(Full)'!$I1128&lt;75),"x",IF(AND('PL1(Full)'!$H1128="Tổ",'PL1(Full)'!$I1128&lt;100),"x","-"))</f>
        <v>-</v>
      </c>
      <c r="V1128" s="34" t="str">
        <f>IF(AND('PL1(Full)'!$H1128="Thôn",'PL1(Full)'!$I1128&lt;140),"x",IF(AND('PL1(Full)'!$H1128="Tổ",'PL1(Full)'!$I1128&lt;210),"x","-"))</f>
        <v>x</v>
      </c>
      <c r="W1128" s="40" t="str">
        <f t="shared" si="175"/>
        <v>Loại 3</v>
      </c>
      <c r="X1128" s="32"/>
    </row>
    <row r="1129" spans="1:24" ht="15.75" customHeight="1">
      <c r="A1129" s="30">
        <f>_xlfn.AGGREGATE(4,7,A$6:A1128)+1</f>
        <v>857</v>
      </c>
      <c r="B1129" s="54" t="str">
        <f t="shared" si="191"/>
        <v>H. Pác Nặm</v>
      </c>
      <c r="C1129" s="54" t="str">
        <f t="shared" si="195"/>
        <v>X. Cổ Linh</v>
      </c>
      <c r="D1129" s="32"/>
      <c r="E1129" s="32" t="s">
        <v>58</v>
      </c>
      <c r="F1129" s="66" t="s">
        <v>1187</v>
      </c>
      <c r="G1129" s="32"/>
      <c r="H1129" s="32" t="str">
        <f>IF(LEFT('PL1(Full)'!$F1129,4)="Thôn","Thôn","Tổ")</f>
        <v>Thôn</v>
      </c>
      <c r="I1129" s="35">
        <v>30</v>
      </c>
      <c r="J1129" s="35">
        <v>153</v>
      </c>
      <c r="K1129" s="35">
        <v>30</v>
      </c>
      <c r="L1129" s="37">
        <f t="shared" si="0"/>
        <v>100</v>
      </c>
      <c r="M1129" s="35">
        <v>17</v>
      </c>
      <c r="N1129" s="38">
        <f t="shared" si="1"/>
        <v>56.666666666666664</v>
      </c>
      <c r="O1129" s="35">
        <v>17</v>
      </c>
      <c r="P1129" s="38">
        <f t="shared" si="2"/>
        <v>100</v>
      </c>
      <c r="Q1129" s="88" t="s">
        <v>52</v>
      </c>
      <c r="R1129" s="88" t="str">
        <f t="shared" si="3"/>
        <v>C</v>
      </c>
      <c r="S1129" s="32" t="s">
        <v>60</v>
      </c>
      <c r="T1129" s="34" t="str">
        <f>IF('PL1(Full)'!$N1129&gt;=20,"x",IF(AND('PL1(Full)'!$N1129&gt;=15,'PL1(Full)'!$P1129&gt;60),"x",""))</f>
        <v>x</v>
      </c>
      <c r="U1129" s="34" t="str">
        <f>IF(AND('PL1(Full)'!$H1129="Thôn",'PL1(Full)'!$I1129&lt;75),"x",IF(AND('PL1(Full)'!$H1129="Tổ",'PL1(Full)'!$I1129&lt;100),"x","-"))</f>
        <v>x</v>
      </c>
      <c r="V1129" s="34" t="str">
        <f>IF(AND('PL1(Full)'!$H1129="Thôn",'PL1(Full)'!$I1129&lt;140),"x",IF(AND('PL1(Full)'!$H1129="Tổ",'PL1(Full)'!$I1129&lt;210),"x","-"))</f>
        <v>x</v>
      </c>
      <c r="W1129" s="40" t="str">
        <f t="shared" si="175"/>
        <v>Loại 3</v>
      </c>
      <c r="X1129" s="32"/>
    </row>
    <row r="1130" spans="1:24" ht="15.75" hidden="1" customHeight="1">
      <c r="A1130" s="30">
        <f>_xlfn.AGGREGATE(4,7,A$6:A1129)+1</f>
        <v>858</v>
      </c>
      <c r="B1130" s="54" t="str">
        <f t="shared" si="191"/>
        <v>H. Pác Nặm</v>
      </c>
      <c r="C1130" s="54" t="str">
        <f t="shared" si="195"/>
        <v>X. Cổ Linh</v>
      </c>
      <c r="D1130" s="32"/>
      <c r="E1130" s="32" t="s">
        <v>58</v>
      </c>
      <c r="F1130" s="66" t="s">
        <v>1188</v>
      </c>
      <c r="G1130" s="32"/>
      <c r="H1130" s="32" t="str">
        <f>IF(LEFT('PL1(Full)'!$F1130,4)="Thôn","Thôn","Tổ")</f>
        <v>Thôn</v>
      </c>
      <c r="I1130" s="35">
        <v>91</v>
      </c>
      <c r="J1130" s="35">
        <v>437</v>
      </c>
      <c r="K1130" s="35">
        <v>91</v>
      </c>
      <c r="L1130" s="37">
        <f t="shared" si="0"/>
        <v>100</v>
      </c>
      <c r="M1130" s="35">
        <v>36</v>
      </c>
      <c r="N1130" s="38">
        <f t="shared" si="1"/>
        <v>39.560439560439562</v>
      </c>
      <c r="O1130" s="35">
        <v>36</v>
      </c>
      <c r="P1130" s="38">
        <f t="shared" si="2"/>
        <v>100</v>
      </c>
      <c r="Q1130" s="88" t="s">
        <v>1183</v>
      </c>
      <c r="R1130" s="88" t="str">
        <f t="shared" si="3"/>
        <v>T</v>
      </c>
      <c r="S1130" s="32" t="s">
        <v>60</v>
      </c>
      <c r="T1130" s="34" t="str">
        <f>IF('PL1(Full)'!$N1130&gt;=20,"x",IF(AND('PL1(Full)'!$N1130&gt;=15,'PL1(Full)'!$P1130&gt;60),"x",""))</f>
        <v>x</v>
      </c>
      <c r="U1130" s="34" t="str">
        <f>IF(AND('PL1(Full)'!$H1130="Thôn",'PL1(Full)'!$I1130&lt;75),"x",IF(AND('PL1(Full)'!$H1130="Tổ",'PL1(Full)'!$I1130&lt;100),"x","-"))</f>
        <v>-</v>
      </c>
      <c r="V1130" s="34" t="str">
        <f>IF(AND('PL1(Full)'!$H1130="Thôn",'PL1(Full)'!$I1130&lt;140),"x",IF(AND('PL1(Full)'!$H1130="Tổ",'PL1(Full)'!$I1130&lt;210),"x","-"))</f>
        <v>x</v>
      </c>
      <c r="W1130" s="40" t="str">
        <f t="shared" si="175"/>
        <v>Loại 3</v>
      </c>
      <c r="X1130" s="32"/>
    </row>
    <row r="1131" spans="1:24" ht="15.75" customHeight="1">
      <c r="A1131" s="30">
        <f>_xlfn.AGGREGATE(4,7,A$6:A1130)+1</f>
        <v>858</v>
      </c>
      <c r="B1131" s="54" t="str">
        <f t="shared" si="191"/>
        <v>H. Pác Nặm</v>
      </c>
      <c r="C1131" s="54" t="str">
        <f t="shared" si="195"/>
        <v>X. Cổ Linh</v>
      </c>
      <c r="D1131" s="32"/>
      <c r="E1131" s="32" t="s">
        <v>58</v>
      </c>
      <c r="F1131" s="66" t="s">
        <v>1189</v>
      </c>
      <c r="G1131" s="32"/>
      <c r="H1131" s="32" t="str">
        <f>IF(LEFT('PL1(Full)'!$F1131,4)="Thôn","Thôn","Tổ")</f>
        <v>Thôn</v>
      </c>
      <c r="I1131" s="35">
        <v>44</v>
      </c>
      <c r="J1131" s="35">
        <v>202</v>
      </c>
      <c r="K1131" s="35">
        <v>44</v>
      </c>
      <c r="L1131" s="37">
        <f t="shared" si="0"/>
        <v>100</v>
      </c>
      <c r="M1131" s="35">
        <v>34</v>
      </c>
      <c r="N1131" s="38">
        <f t="shared" si="1"/>
        <v>77.272727272727266</v>
      </c>
      <c r="O1131" s="35">
        <v>34</v>
      </c>
      <c r="P1131" s="38">
        <f t="shared" si="2"/>
        <v>100</v>
      </c>
      <c r="Q1131" s="88" t="s">
        <v>52</v>
      </c>
      <c r="R1131" s="88" t="str">
        <f t="shared" si="3"/>
        <v>C</v>
      </c>
      <c r="S1131" s="32" t="s">
        <v>60</v>
      </c>
      <c r="T1131" s="34" t="str">
        <f>IF('PL1(Full)'!$N1131&gt;=20,"x",IF(AND('PL1(Full)'!$N1131&gt;=15,'PL1(Full)'!$P1131&gt;60),"x",""))</f>
        <v>x</v>
      </c>
      <c r="U1131" s="34" t="str">
        <f>IF(AND('PL1(Full)'!$H1131="Thôn",'PL1(Full)'!$I1131&lt;75),"x",IF(AND('PL1(Full)'!$H1131="Tổ",'PL1(Full)'!$I1131&lt;100),"x","-"))</f>
        <v>x</v>
      </c>
      <c r="V1131" s="34" t="str">
        <f>IF(AND('PL1(Full)'!$H1131="Thôn",'PL1(Full)'!$I1131&lt;140),"x",IF(AND('PL1(Full)'!$H1131="Tổ",'PL1(Full)'!$I1131&lt;210),"x","-"))</f>
        <v>x</v>
      </c>
      <c r="W1131" s="40" t="str">
        <f t="shared" si="175"/>
        <v>Loại 3</v>
      </c>
      <c r="X1131" s="32"/>
    </row>
    <row r="1132" spans="1:24" ht="15.75" customHeight="1">
      <c r="A1132" s="41">
        <f>_xlfn.AGGREGATE(4,7,A$6:A1131)+1</f>
        <v>859</v>
      </c>
      <c r="B1132" s="55" t="str">
        <f t="shared" si="191"/>
        <v>H. Pác Nặm</v>
      </c>
      <c r="C1132" s="55" t="str">
        <f t="shared" si="195"/>
        <v>X. Cổ Linh</v>
      </c>
      <c r="D1132" s="43"/>
      <c r="E1132" s="43" t="s">
        <v>58</v>
      </c>
      <c r="F1132" s="67" t="s">
        <v>1190</v>
      </c>
      <c r="G1132" s="43"/>
      <c r="H1132" s="43" t="str">
        <f>IF(LEFT('PL1(Full)'!$F1132,4)="Thôn","Thôn","Tổ")</f>
        <v>Thôn</v>
      </c>
      <c r="I1132" s="45">
        <v>74</v>
      </c>
      <c r="J1132" s="45">
        <v>322</v>
      </c>
      <c r="K1132" s="45">
        <v>74</v>
      </c>
      <c r="L1132" s="47">
        <f t="shared" si="0"/>
        <v>100</v>
      </c>
      <c r="M1132" s="45">
        <v>62</v>
      </c>
      <c r="N1132" s="48">
        <f t="shared" si="1"/>
        <v>83.78378378378379</v>
      </c>
      <c r="O1132" s="45">
        <v>62</v>
      </c>
      <c r="P1132" s="48">
        <f t="shared" si="2"/>
        <v>100</v>
      </c>
      <c r="Q1132" s="89" t="s">
        <v>52</v>
      </c>
      <c r="R1132" s="89" t="str">
        <f t="shared" si="3"/>
        <v>C</v>
      </c>
      <c r="S1132" s="43" t="s">
        <v>60</v>
      </c>
      <c r="T1132" s="50" t="str">
        <f>IF('PL1(Full)'!$N1132&gt;=20,"x",IF(AND('PL1(Full)'!$N1132&gt;=15,'PL1(Full)'!$P1132&gt;60),"x",""))</f>
        <v>x</v>
      </c>
      <c r="U1132" s="50" t="str">
        <f>IF(AND('PL1(Full)'!$H1132="Thôn",'PL1(Full)'!$I1132&lt;75),"x",IF(AND('PL1(Full)'!$H1132="Tổ",'PL1(Full)'!$I1132&lt;100),"x","-"))</f>
        <v>x</v>
      </c>
      <c r="V1132" s="34" t="str">
        <f>IF(AND('PL1(Full)'!$H1132="Thôn",'PL1(Full)'!$I1132&lt;140),"x",IF(AND('PL1(Full)'!$H1132="Tổ",'PL1(Full)'!$I1132&lt;210),"x","-"))</f>
        <v>x</v>
      </c>
      <c r="W1132" s="51" t="str">
        <f t="shared" si="175"/>
        <v>Loại 3</v>
      </c>
      <c r="X1132" s="43"/>
    </row>
    <row r="1133" spans="1:24" ht="15.75" customHeight="1">
      <c r="A1133" s="52">
        <f>_xlfn.AGGREGATE(4,7,A$6:A1132)+1</f>
        <v>860</v>
      </c>
      <c r="B1133" s="53" t="str">
        <f t="shared" si="191"/>
        <v>H. Pác Nặm</v>
      </c>
      <c r="C1133" s="14" t="s">
        <v>1191</v>
      </c>
      <c r="D1133" s="25" t="s">
        <v>58</v>
      </c>
      <c r="E1133" s="25" t="s">
        <v>58</v>
      </c>
      <c r="F1133" s="14" t="s">
        <v>1192</v>
      </c>
      <c r="G1133" s="25"/>
      <c r="H1133" s="25" t="str">
        <f>IF(LEFT('PL1(Full)'!$F1133,4)="Thôn","Thôn","Tổ")</f>
        <v>Thôn</v>
      </c>
      <c r="I1133" s="20">
        <v>68</v>
      </c>
      <c r="J1133" s="20">
        <v>337</v>
      </c>
      <c r="K1133" s="20">
        <v>68</v>
      </c>
      <c r="L1133" s="21">
        <f t="shared" si="0"/>
        <v>100</v>
      </c>
      <c r="M1133" s="20">
        <v>54</v>
      </c>
      <c r="N1133" s="22">
        <f t="shared" si="1"/>
        <v>79.411764705882348</v>
      </c>
      <c r="O1133" s="20">
        <v>54</v>
      </c>
      <c r="P1133" s="22">
        <f t="shared" si="2"/>
        <v>100</v>
      </c>
      <c r="Q1133" s="23" t="s">
        <v>56</v>
      </c>
      <c r="R1133" s="24" t="str">
        <f t="shared" si="3"/>
        <v>X</v>
      </c>
      <c r="S1133" s="25" t="s">
        <v>60</v>
      </c>
      <c r="T1133" s="26" t="str">
        <f>IF('PL1(Full)'!$N1133&gt;=20,"x",IF(AND('PL1(Full)'!$N1133&gt;=15,'PL1(Full)'!$P1133&gt;60),"x",""))</f>
        <v>x</v>
      </c>
      <c r="U1133" s="27" t="str">
        <f>IF(AND('PL1(Full)'!$H1133="Thôn",'PL1(Full)'!$I1133&lt;75),"x",IF(AND('PL1(Full)'!$H1133="Tổ",'PL1(Full)'!$I1133&lt;100),"x","-"))</f>
        <v>x</v>
      </c>
      <c r="V1133" s="28" t="str">
        <f>IF(AND('PL1(Full)'!$H1133="Thôn",'PL1(Full)'!$I1133&lt;140),"x",IF(AND('PL1(Full)'!$H1133="Tổ",'PL1(Full)'!$I1133&lt;210),"x","-"))</f>
        <v>x</v>
      </c>
      <c r="W1133" s="29" t="str">
        <f t="shared" si="175"/>
        <v>Loại 3</v>
      </c>
      <c r="X1133" s="25"/>
    </row>
    <row r="1134" spans="1:24" ht="15.75" customHeight="1">
      <c r="A1134" s="30">
        <f>_xlfn.AGGREGATE(4,7,A$6:A1133)+1</f>
        <v>861</v>
      </c>
      <c r="B1134" s="54" t="str">
        <f t="shared" si="191"/>
        <v>H. Pác Nặm</v>
      </c>
      <c r="C1134" s="54" t="str">
        <f t="shared" ref="C1134:C1141" si="196">C1133</f>
        <v>X. Công Bằng</v>
      </c>
      <c r="D1134" s="34"/>
      <c r="E1134" s="34" t="s">
        <v>58</v>
      </c>
      <c r="F1134" s="31" t="s">
        <v>1193</v>
      </c>
      <c r="G1134" s="34"/>
      <c r="H1134" s="34" t="str">
        <f>IF(LEFT('PL1(Full)'!$F1134,4)="Thôn","Thôn","Tổ")</f>
        <v>Thôn</v>
      </c>
      <c r="I1134" s="36">
        <v>29</v>
      </c>
      <c r="J1134" s="36">
        <v>154</v>
      </c>
      <c r="K1134" s="36">
        <v>29</v>
      </c>
      <c r="L1134" s="37">
        <f t="shared" si="0"/>
        <v>100</v>
      </c>
      <c r="M1134" s="36">
        <v>29</v>
      </c>
      <c r="N1134" s="38">
        <f t="shared" si="1"/>
        <v>100</v>
      </c>
      <c r="O1134" s="36">
        <v>29</v>
      </c>
      <c r="P1134" s="38">
        <f t="shared" si="2"/>
        <v>100</v>
      </c>
      <c r="Q1134" s="39" t="s">
        <v>52</v>
      </c>
      <c r="R1134" s="39" t="str">
        <f t="shared" si="3"/>
        <v>C</v>
      </c>
      <c r="S1134" s="34" t="s">
        <v>60</v>
      </c>
      <c r="T1134" s="34" t="str">
        <f>IF('PL1(Full)'!$N1134&gt;=20,"x",IF(AND('PL1(Full)'!$N1134&gt;=15,'PL1(Full)'!$P1134&gt;60),"x",""))</f>
        <v>x</v>
      </c>
      <c r="U1134" s="34" t="str">
        <f>IF(AND('PL1(Full)'!$H1134="Thôn",'PL1(Full)'!$I1134&lt;75),"x",IF(AND('PL1(Full)'!$H1134="Tổ",'PL1(Full)'!$I1134&lt;100),"x","-"))</f>
        <v>x</v>
      </c>
      <c r="V1134" s="34" t="str">
        <f>IF(AND('PL1(Full)'!$H1134="Thôn",'PL1(Full)'!$I1134&lt;140),"x",IF(AND('PL1(Full)'!$H1134="Tổ",'PL1(Full)'!$I1134&lt;210),"x","-"))</f>
        <v>x</v>
      </c>
      <c r="W1134" s="40" t="str">
        <f t="shared" si="175"/>
        <v>Loại 3</v>
      </c>
      <c r="X1134" s="34"/>
    </row>
    <row r="1135" spans="1:24" ht="15.75" customHeight="1">
      <c r="A1135" s="30">
        <f>_xlfn.AGGREGATE(4,7,A$6:A1134)+1</f>
        <v>862</v>
      </c>
      <c r="B1135" s="54" t="str">
        <f t="shared" si="191"/>
        <v>H. Pác Nặm</v>
      </c>
      <c r="C1135" s="54" t="str">
        <f t="shared" si="196"/>
        <v>X. Công Bằng</v>
      </c>
      <c r="D1135" s="34"/>
      <c r="E1135" s="34" t="s">
        <v>58</v>
      </c>
      <c r="F1135" s="31" t="s">
        <v>1194</v>
      </c>
      <c r="G1135" s="34"/>
      <c r="H1135" s="34" t="str">
        <f>IF(LEFT('PL1(Full)'!$F1135,4)="Thôn","Thôn","Tổ")</f>
        <v>Thôn</v>
      </c>
      <c r="I1135" s="36">
        <v>64</v>
      </c>
      <c r="J1135" s="36">
        <v>291</v>
      </c>
      <c r="K1135" s="36">
        <v>64</v>
      </c>
      <c r="L1135" s="37">
        <f t="shared" si="0"/>
        <v>100</v>
      </c>
      <c r="M1135" s="36">
        <v>27</v>
      </c>
      <c r="N1135" s="38">
        <f t="shared" si="1"/>
        <v>42.1875</v>
      </c>
      <c r="O1135" s="36">
        <v>27</v>
      </c>
      <c r="P1135" s="38">
        <f t="shared" si="2"/>
        <v>100</v>
      </c>
      <c r="Q1135" s="39" t="s">
        <v>56</v>
      </c>
      <c r="R1135" s="39" t="str">
        <f t="shared" si="3"/>
        <v>X</v>
      </c>
      <c r="S1135" s="34" t="s">
        <v>60</v>
      </c>
      <c r="T1135" s="34" t="str">
        <f>IF('PL1(Full)'!$N1135&gt;=20,"x",IF(AND('PL1(Full)'!$N1135&gt;=15,'PL1(Full)'!$P1135&gt;60),"x",""))</f>
        <v>x</v>
      </c>
      <c r="U1135" s="34" t="str">
        <f>IF(AND('PL1(Full)'!$H1135="Thôn",'PL1(Full)'!$I1135&lt;75),"x",IF(AND('PL1(Full)'!$H1135="Tổ",'PL1(Full)'!$I1135&lt;100),"x","-"))</f>
        <v>x</v>
      </c>
      <c r="V1135" s="34" t="str">
        <f>IF(AND('PL1(Full)'!$H1135="Thôn",'PL1(Full)'!$I1135&lt;140),"x",IF(AND('PL1(Full)'!$H1135="Tổ",'PL1(Full)'!$I1135&lt;210),"x","-"))</f>
        <v>x</v>
      </c>
      <c r="W1135" s="40" t="str">
        <f t="shared" si="175"/>
        <v>Loại 3</v>
      </c>
      <c r="X1135" s="34"/>
    </row>
    <row r="1136" spans="1:24" ht="15.75" customHeight="1">
      <c r="A1136" s="30">
        <f>_xlfn.AGGREGATE(4,7,A$6:A1135)+1</f>
        <v>863</v>
      </c>
      <c r="B1136" s="54" t="str">
        <f t="shared" si="191"/>
        <v>H. Pác Nặm</v>
      </c>
      <c r="C1136" s="54" t="str">
        <f t="shared" si="196"/>
        <v>X. Công Bằng</v>
      </c>
      <c r="D1136" s="34"/>
      <c r="E1136" s="34" t="s">
        <v>58</v>
      </c>
      <c r="F1136" s="31" t="s">
        <v>1195</v>
      </c>
      <c r="G1136" s="34"/>
      <c r="H1136" s="34" t="str">
        <f>IF(LEFT('PL1(Full)'!$F1136,4)="Thôn","Thôn","Tổ")</f>
        <v>Thôn</v>
      </c>
      <c r="I1136" s="36">
        <v>49</v>
      </c>
      <c r="J1136" s="36">
        <v>209</v>
      </c>
      <c r="K1136" s="36">
        <v>50</v>
      </c>
      <c r="L1136" s="37">
        <f t="shared" si="0"/>
        <v>102.04081632653062</v>
      </c>
      <c r="M1136" s="36">
        <v>14</v>
      </c>
      <c r="N1136" s="38">
        <f t="shared" si="1"/>
        <v>28.571428571428573</v>
      </c>
      <c r="O1136" s="36">
        <v>14</v>
      </c>
      <c r="P1136" s="38">
        <f t="shared" si="2"/>
        <v>100</v>
      </c>
      <c r="Q1136" s="39" t="s">
        <v>56</v>
      </c>
      <c r="R1136" s="39" t="str">
        <f t="shared" si="3"/>
        <v>X</v>
      </c>
      <c r="S1136" s="34"/>
      <c r="T1136" s="34" t="str">
        <f>IF('PL1(Full)'!$N1136&gt;=20,"x",IF(AND('PL1(Full)'!$N1136&gt;=15,'PL1(Full)'!$P1136&gt;60),"x",""))</f>
        <v>x</v>
      </c>
      <c r="U1136" s="34" t="str">
        <f>IF(AND('PL1(Full)'!$H1136="Thôn",'PL1(Full)'!$I1136&lt;75),"x",IF(AND('PL1(Full)'!$H1136="Tổ",'PL1(Full)'!$I1136&lt;100),"x","-"))</f>
        <v>x</v>
      </c>
      <c r="V1136" s="34" t="str">
        <f>IF(AND('PL1(Full)'!$H1136="Thôn",'PL1(Full)'!$I1136&lt;140),"x",IF(AND('PL1(Full)'!$H1136="Tổ",'PL1(Full)'!$I1136&lt;210),"x","-"))</f>
        <v>x</v>
      </c>
      <c r="W1136" s="40" t="str">
        <f t="shared" si="175"/>
        <v>Loại 3</v>
      </c>
      <c r="X1136" s="34"/>
    </row>
    <row r="1137" spans="1:24" ht="15.75" hidden="1" customHeight="1">
      <c r="A1137" s="30">
        <f>_xlfn.AGGREGATE(4,7,A$6:A1136)+1</f>
        <v>864</v>
      </c>
      <c r="B1137" s="54" t="str">
        <f t="shared" si="191"/>
        <v>H. Pác Nặm</v>
      </c>
      <c r="C1137" s="54" t="str">
        <f t="shared" si="196"/>
        <v>X. Công Bằng</v>
      </c>
      <c r="D1137" s="34"/>
      <c r="E1137" s="34" t="s">
        <v>58</v>
      </c>
      <c r="F1137" s="31" t="s">
        <v>1196</v>
      </c>
      <c r="G1137" s="34" t="s">
        <v>40</v>
      </c>
      <c r="H1137" s="34" t="str">
        <f>IF(LEFT('PL1(Full)'!$F1137,4)="Thôn","Thôn","Tổ")</f>
        <v>Thôn</v>
      </c>
      <c r="I1137" s="36">
        <v>76</v>
      </c>
      <c r="J1137" s="36">
        <v>373</v>
      </c>
      <c r="K1137" s="36">
        <v>76</v>
      </c>
      <c r="L1137" s="37">
        <f t="shared" si="0"/>
        <v>100</v>
      </c>
      <c r="M1137" s="36">
        <v>52</v>
      </c>
      <c r="N1137" s="38">
        <f t="shared" si="1"/>
        <v>68.421052631578945</v>
      </c>
      <c r="O1137" s="36">
        <v>52</v>
      </c>
      <c r="P1137" s="38">
        <f t="shared" si="2"/>
        <v>100</v>
      </c>
      <c r="Q1137" s="39" t="s">
        <v>56</v>
      </c>
      <c r="R1137" s="39" t="str">
        <f t="shared" si="3"/>
        <v>X</v>
      </c>
      <c r="S1137" s="34" t="s">
        <v>60</v>
      </c>
      <c r="T1137" s="34" t="str">
        <f>IF('PL1(Full)'!$N1137&gt;=20,"x",IF(AND('PL1(Full)'!$N1137&gt;=15,'PL1(Full)'!$P1137&gt;60),"x",""))</f>
        <v>x</v>
      </c>
      <c r="U1137" s="34" t="str">
        <f>IF(AND('PL1(Full)'!$H1137="Thôn",'PL1(Full)'!$I1137&lt;75),"x",IF(AND('PL1(Full)'!$H1137="Tổ",'PL1(Full)'!$I1137&lt;100),"x","-"))</f>
        <v>-</v>
      </c>
      <c r="V1137" s="34" t="str">
        <f>IF(AND('PL1(Full)'!$H1137="Thôn",'PL1(Full)'!$I1137&lt;140),"x",IF(AND('PL1(Full)'!$H1137="Tổ",'PL1(Full)'!$I1137&lt;210),"x","-"))</f>
        <v>x</v>
      </c>
      <c r="W1137" s="40" t="str">
        <f t="shared" si="175"/>
        <v>Loại 3</v>
      </c>
      <c r="X1137" s="34"/>
    </row>
    <row r="1138" spans="1:24" ht="15.75" hidden="1" customHeight="1">
      <c r="A1138" s="30">
        <f>_xlfn.AGGREGATE(4,7,A$6:A1137)+1</f>
        <v>864</v>
      </c>
      <c r="B1138" s="54" t="str">
        <f t="shared" si="191"/>
        <v>H. Pác Nặm</v>
      </c>
      <c r="C1138" s="54" t="str">
        <f t="shared" si="196"/>
        <v>X. Công Bằng</v>
      </c>
      <c r="D1138" s="34"/>
      <c r="E1138" s="34" t="s">
        <v>58</v>
      </c>
      <c r="F1138" s="31" t="s">
        <v>1197</v>
      </c>
      <c r="G1138" s="34"/>
      <c r="H1138" s="34" t="str">
        <f>IF(LEFT('PL1(Full)'!$F1138,4)="Thôn","Thôn","Tổ")</f>
        <v>Thôn</v>
      </c>
      <c r="I1138" s="36">
        <v>77</v>
      </c>
      <c r="J1138" s="36">
        <v>374</v>
      </c>
      <c r="K1138" s="36">
        <v>77</v>
      </c>
      <c r="L1138" s="37">
        <f t="shared" si="0"/>
        <v>100</v>
      </c>
      <c r="M1138" s="36">
        <v>44</v>
      </c>
      <c r="N1138" s="38">
        <f t="shared" si="1"/>
        <v>57.142857142857146</v>
      </c>
      <c r="O1138" s="36">
        <v>44</v>
      </c>
      <c r="P1138" s="38">
        <f t="shared" si="2"/>
        <v>100</v>
      </c>
      <c r="Q1138" s="39" t="s">
        <v>56</v>
      </c>
      <c r="R1138" s="39" t="str">
        <f t="shared" si="3"/>
        <v>X</v>
      </c>
      <c r="S1138" s="34" t="s">
        <v>60</v>
      </c>
      <c r="T1138" s="34" t="str">
        <f>IF('PL1(Full)'!$N1138&gt;=20,"x",IF(AND('PL1(Full)'!$N1138&gt;=15,'PL1(Full)'!$P1138&gt;60),"x",""))</f>
        <v>x</v>
      </c>
      <c r="U1138" s="34" t="str">
        <f>IF(AND('PL1(Full)'!$H1138="Thôn",'PL1(Full)'!$I1138&lt;75),"x",IF(AND('PL1(Full)'!$H1138="Tổ",'PL1(Full)'!$I1138&lt;100),"x","-"))</f>
        <v>-</v>
      </c>
      <c r="V1138" s="34" t="str">
        <f>IF(AND('PL1(Full)'!$H1138="Thôn",'PL1(Full)'!$I1138&lt;140),"x",IF(AND('PL1(Full)'!$H1138="Tổ",'PL1(Full)'!$I1138&lt;210),"x","-"))</f>
        <v>x</v>
      </c>
      <c r="W1138" s="40" t="str">
        <f t="shared" si="175"/>
        <v>Loại 3</v>
      </c>
      <c r="X1138" s="34"/>
    </row>
    <row r="1139" spans="1:24" ht="15.75" hidden="1" customHeight="1">
      <c r="A1139" s="30">
        <f>_xlfn.AGGREGATE(4,7,A$6:A1138)+1</f>
        <v>864</v>
      </c>
      <c r="B1139" s="54" t="str">
        <f t="shared" si="191"/>
        <v>H. Pác Nặm</v>
      </c>
      <c r="C1139" s="54" t="str">
        <f t="shared" si="196"/>
        <v>X. Công Bằng</v>
      </c>
      <c r="D1139" s="34"/>
      <c r="E1139" s="34" t="s">
        <v>58</v>
      </c>
      <c r="F1139" s="31" t="s">
        <v>734</v>
      </c>
      <c r="G1139" s="34"/>
      <c r="H1139" s="34" t="str">
        <f>IF(LEFT('PL1(Full)'!$F1139,4)="Thôn","Thôn","Tổ")</f>
        <v>Thôn</v>
      </c>
      <c r="I1139" s="36">
        <v>81</v>
      </c>
      <c r="J1139" s="36">
        <v>369</v>
      </c>
      <c r="K1139" s="36">
        <v>81</v>
      </c>
      <c r="L1139" s="37">
        <f t="shared" si="0"/>
        <v>100</v>
      </c>
      <c r="M1139" s="36">
        <v>70</v>
      </c>
      <c r="N1139" s="38">
        <f t="shared" si="1"/>
        <v>86.419753086419746</v>
      </c>
      <c r="O1139" s="36">
        <v>70</v>
      </c>
      <c r="P1139" s="38">
        <f t="shared" si="2"/>
        <v>100</v>
      </c>
      <c r="Q1139" s="39" t="s">
        <v>56</v>
      </c>
      <c r="R1139" s="39" t="str">
        <f t="shared" si="3"/>
        <v>X</v>
      </c>
      <c r="S1139" s="34" t="s">
        <v>60</v>
      </c>
      <c r="T1139" s="34" t="str">
        <f>IF('PL1(Full)'!$N1139&gt;=20,"x",IF(AND('PL1(Full)'!$N1139&gt;=15,'PL1(Full)'!$P1139&gt;60),"x",""))</f>
        <v>x</v>
      </c>
      <c r="U1139" s="34" t="str">
        <f>IF(AND('PL1(Full)'!$H1139="Thôn",'PL1(Full)'!$I1139&lt;75),"x",IF(AND('PL1(Full)'!$H1139="Tổ",'PL1(Full)'!$I1139&lt;100),"x","-"))</f>
        <v>-</v>
      </c>
      <c r="V1139" s="34" t="str">
        <f>IF(AND('PL1(Full)'!$H1139="Thôn",'PL1(Full)'!$I1139&lt;140),"x",IF(AND('PL1(Full)'!$H1139="Tổ",'PL1(Full)'!$I1139&lt;210),"x","-"))</f>
        <v>x</v>
      </c>
      <c r="W1139" s="40" t="str">
        <f t="shared" si="175"/>
        <v>Loại 3</v>
      </c>
      <c r="X1139" s="34"/>
    </row>
    <row r="1140" spans="1:24" ht="15.75" hidden="1" customHeight="1">
      <c r="A1140" s="30">
        <f>_xlfn.AGGREGATE(4,7,A$6:A1139)+1</f>
        <v>864</v>
      </c>
      <c r="B1140" s="54" t="str">
        <f t="shared" si="191"/>
        <v>H. Pác Nặm</v>
      </c>
      <c r="C1140" s="54" t="str">
        <f t="shared" si="196"/>
        <v>X. Công Bằng</v>
      </c>
      <c r="D1140" s="34"/>
      <c r="E1140" s="34" t="s">
        <v>58</v>
      </c>
      <c r="F1140" s="31" t="s">
        <v>1198</v>
      </c>
      <c r="G1140" s="34" t="s">
        <v>40</v>
      </c>
      <c r="H1140" s="34" t="str">
        <f>IF(LEFT('PL1(Full)'!$F1140,4)="Thôn","Thôn","Tổ")</f>
        <v>Thôn</v>
      </c>
      <c r="I1140" s="36">
        <v>129</v>
      </c>
      <c r="J1140" s="36">
        <v>592</v>
      </c>
      <c r="K1140" s="36">
        <v>123</v>
      </c>
      <c r="L1140" s="37">
        <f t="shared" si="0"/>
        <v>95.348837209302332</v>
      </c>
      <c r="M1140" s="36">
        <v>60</v>
      </c>
      <c r="N1140" s="38">
        <f t="shared" si="1"/>
        <v>46.511627906976742</v>
      </c>
      <c r="O1140" s="36">
        <v>60</v>
      </c>
      <c r="P1140" s="38">
        <f t="shared" si="2"/>
        <v>100</v>
      </c>
      <c r="Q1140" s="39" t="s">
        <v>43</v>
      </c>
      <c r="R1140" s="39" t="str">
        <f t="shared" si="3"/>
        <v>X</v>
      </c>
      <c r="S1140" s="34" t="s">
        <v>60</v>
      </c>
      <c r="T1140" s="34" t="str">
        <f>IF('PL1(Full)'!$N1140&gt;=20,"x",IF(AND('PL1(Full)'!$N1140&gt;=15,'PL1(Full)'!$P1140&gt;60),"x",""))</f>
        <v>x</v>
      </c>
      <c r="U1140" s="34" t="str">
        <f>IF(AND('PL1(Full)'!$H1140="Thôn",'PL1(Full)'!$I1140&lt;75),"x",IF(AND('PL1(Full)'!$H1140="Tổ",'PL1(Full)'!$I1140&lt;100),"x","-"))</f>
        <v>-</v>
      </c>
      <c r="V1140" s="34" t="str">
        <f>IF(AND('PL1(Full)'!$H1140="Thôn",'PL1(Full)'!$I1140&lt;140),"x",IF(AND('PL1(Full)'!$H1140="Tổ",'PL1(Full)'!$I1140&lt;210),"x","-"))</f>
        <v>x</v>
      </c>
      <c r="W1140" s="40" t="str">
        <f t="shared" si="175"/>
        <v>Loại 2</v>
      </c>
      <c r="X1140" s="34"/>
    </row>
    <row r="1141" spans="1:24" ht="15.75" hidden="1" customHeight="1">
      <c r="A1141" s="41">
        <f>_xlfn.AGGREGATE(4,7,A$6:A1140)+1</f>
        <v>864</v>
      </c>
      <c r="B1141" s="55" t="str">
        <f t="shared" si="191"/>
        <v>H. Pác Nặm</v>
      </c>
      <c r="C1141" s="55" t="str">
        <f t="shared" si="196"/>
        <v>X. Công Bằng</v>
      </c>
      <c r="D1141" s="50"/>
      <c r="E1141" s="50" t="s">
        <v>58</v>
      </c>
      <c r="F1141" s="42" t="s">
        <v>1199</v>
      </c>
      <c r="G1141" s="50" t="s">
        <v>40</v>
      </c>
      <c r="H1141" s="50" t="str">
        <f>IF(LEFT('PL1(Full)'!$F1141,4)="Thôn","Thôn","Tổ")</f>
        <v>Thôn</v>
      </c>
      <c r="I1141" s="46">
        <v>138</v>
      </c>
      <c r="J1141" s="46">
        <v>610</v>
      </c>
      <c r="K1141" s="46">
        <v>137</v>
      </c>
      <c r="L1141" s="47">
        <f t="shared" si="0"/>
        <v>99.275362318840578</v>
      </c>
      <c r="M1141" s="46">
        <v>26</v>
      </c>
      <c r="N1141" s="48">
        <f t="shared" si="1"/>
        <v>18.840579710144926</v>
      </c>
      <c r="O1141" s="46">
        <v>26</v>
      </c>
      <c r="P1141" s="48">
        <f t="shared" si="2"/>
        <v>100</v>
      </c>
      <c r="Q1141" s="49" t="s">
        <v>43</v>
      </c>
      <c r="R1141" s="49" t="str">
        <f t="shared" si="3"/>
        <v>X</v>
      </c>
      <c r="S1141" s="50"/>
      <c r="T1141" s="50" t="str">
        <f>IF('PL1(Full)'!$N1141&gt;=20,"x",IF(AND('PL1(Full)'!$N1141&gt;=15,'PL1(Full)'!$P1141&gt;60),"x",""))</f>
        <v>x</v>
      </c>
      <c r="U1141" s="50" t="str">
        <f>IF(AND('PL1(Full)'!$H1141="Thôn",'PL1(Full)'!$I1141&lt;75),"x",IF(AND('PL1(Full)'!$H1141="Tổ",'PL1(Full)'!$I1141&lt;100),"x","-"))</f>
        <v>-</v>
      </c>
      <c r="V1141" s="50" t="str">
        <f>IF(AND('PL1(Full)'!$H1141="Thôn",'PL1(Full)'!$I1141&lt;140),"x",IF(AND('PL1(Full)'!$H1141="Tổ",'PL1(Full)'!$I1141&lt;210),"x","-"))</f>
        <v>x</v>
      </c>
      <c r="W1141" s="51" t="str">
        <f t="shared" si="175"/>
        <v>Loại 2</v>
      </c>
      <c r="X1141" s="50"/>
    </row>
    <row r="1142" spans="1:24" ht="15.75" hidden="1" customHeight="1">
      <c r="A1142" s="52">
        <f>_xlfn.AGGREGATE(4,7,A$6:A1141)+1</f>
        <v>864</v>
      </c>
      <c r="B1142" s="53" t="str">
        <f t="shared" si="191"/>
        <v>H. Pác Nặm</v>
      </c>
      <c r="C1142" s="14" t="s">
        <v>1200</v>
      </c>
      <c r="D1142" s="25" t="s">
        <v>58</v>
      </c>
      <c r="E1142" s="25" t="s">
        <v>58</v>
      </c>
      <c r="F1142" s="53" t="s">
        <v>1201</v>
      </c>
      <c r="G1142" s="25"/>
      <c r="H1142" s="25" t="str">
        <f>IF(LEFT('PL1(Full)'!$F1142,4)="Thôn","Thôn","Tổ")</f>
        <v>Thôn</v>
      </c>
      <c r="I1142" s="20">
        <v>76</v>
      </c>
      <c r="J1142" s="20">
        <v>361</v>
      </c>
      <c r="K1142" s="20">
        <v>76</v>
      </c>
      <c r="L1142" s="21">
        <f t="shared" si="0"/>
        <v>100</v>
      </c>
      <c r="M1142" s="20">
        <v>39</v>
      </c>
      <c r="N1142" s="22">
        <f t="shared" si="1"/>
        <v>51.315789473684212</v>
      </c>
      <c r="O1142" s="20">
        <v>39</v>
      </c>
      <c r="P1142" s="22">
        <f t="shared" si="2"/>
        <v>100</v>
      </c>
      <c r="Q1142" s="23" t="s">
        <v>56</v>
      </c>
      <c r="R1142" s="24" t="str">
        <f t="shared" si="3"/>
        <v>X</v>
      </c>
      <c r="S1142" s="25"/>
      <c r="T1142" s="26" t="str">
        <f>IF('PL1(Full)'!$N1142&gt;=20,"x",IF(AND('PL1(Full)'!$N1142&gt;=15,'PL1(Full)'!$P1142&gt;60),"x",""))</f>
        <v>x</v>
      </c>
      <c r="U1142" s="27" t="str">
        <f>IF(AND('PL1(Full)'!$H1142="Thôn",'PL1(Full)'!$I1142&lt;75),"x",IF(AND('PL1(Full)'!$H1142="Tổ",'PL1(Full)'!$I1142&lt;100),"x","-"))</f>
        <v>-</v>
      </c>
      <c r="V1142" s="28" t="str">
        <f>IF(AND('PL1(Full)'!$H1142="Thôn",'PL1(Full)'!$I1142&lt;140),"x",IF(AND('PL1(Full)'!$H1142="Tổ",'PL1(Full)'!$I1142&lt;210),"x","-"))</f>
        <v>x</v>
      </c>
      <c r="W1142" s="29" t="str">
        <f t="shared" si="175"/>
        <v>Loại 3</v>
      </c>
      <c r="X1142" s="25"/>
    </row>
    <row r="1143" spans="1:24" ht="15.75" customHeight="1">
      <c r="A1143" s="30">
        <f>_xlfn.AGGREGATE(4,7,A$6:A1142)+1</f>
        <v>864</v>
      </c>
      <c r="B1143" s="54" t="str">
        <f t="shared" si="191"/>
        <v>H. Pác Nặm</v>
      </c>
      <c r="C1143" s="54" t="str">
        <f t="shared" ref="C1143:C1149" si="197">C1142</f>
        <v>X. Giáo Hiệu</v>
      </c>
      <c r="D1143" s="34"/>
      <c r="E1143" s="34" t="s">
        <v>58</v>
      </c>
      <c r="F1143" s="54" t="s">
        <v>1202</v>
      </c>
      <c r="G1143" s="34"/>
      <c r="H1143" s="34" t="str">
        <f>IF(LEFT('PL1(Full)'!$F1143,4)="Thôn","Thôn","Tổ")</f>
        <v>Thôn</v>
      </c>
      <c r="I1143" s="36">
        <v>25</v>
      </c>
      <c r="J1143" s="36">
        <v>117</v>
      </c>
      <c r="K1143" s="36">
        <v>25</v>
      </c>
      <c r="L1143" s="37">
        <f t="shared" si="0"/>
        <v>100</v>
      </c>
      <c r="M1143" s="36">
        <v>8</v>
      </c>
      <c r="N1143" s="38">
        <f t="shared" si="1"/>
        <v>32</v>
      </c>
      <c r="O1143" s="36">
        <v>8</v>
      </c>
      <c r="P1143" s="38">
        <f t="shared" si="2"/>
        <v>100</v>
      </c>
      <c r="Q1143" s="39" t="s">
        <v>63</v>
      </c>
      <c r="R1143" s="39" t="str">
        <f t="shared" si="3"/>
        <v>X</v>
      </c>
      <c r="S1143" s="34" t="s">
        <v>60</v>
      </c>
      <c r="T1143" s="34" t="str">
        <f>IF('PL1(Full)'!$N1143&gt;=20,"x",IF(AND('PL1(Full)'!$N1143&gt;=15,'PL1(Full)'!$P1143&gt;60),"x",""))</f>
        <v>x</v>
      </c>
      <c r="U1143" s="34" t="str">
        <f>IF(AND('PL1(Full)'!$H1143="Thôn",'PL1(Full)'!$I1143&lt;75),"x",IF(AND('PL1(Full)'!$H1143="Tổ",'PL1(Full)'!$I1143&lt;100),"x","-"))</f>
        <v>x</v>
      </c>
      <c r="V1143" s="34" t="str">
        <f>IF(AND('PL1(Full)'!$H1143="Thôn",'PL1(Full)'!$I1143&lt;140),"x",IF(AND('PL1(Full)'!$H1143="Tổ",'PL1(Full)'!$I1143&lt;210),"x","-"))</f>
        <v>x</v>
      </c>
      <c r="W1143" s="40" t="str">
        <f t="shared" si="175"/>
        <v>Loại 3</v>
      </c>
      <c r="X1143" s="34"/>
    </row>
    <row r="1144" spans="1:24" ht="15.75" customHeight="1">
      <c r="A1144" s="30">
        <f>_xlfn.AGGREGATE(4,7,A$6:A1143)+1</f>
        <v>865</v>
      </c>
      <c r="B1144" s="54" t="str">
        <f t="shared" si="191"/>
        <v>H. Pác Nặm</v>
      </c>
      <c r="C1144" s="54" t="str">
        <f t="shared" si="197"/>
        <v>X. Giáo Hiệu</v>
      </c>
      <c r="D1144" s="34"/>
      <c r="E1144" s="34" t="s">
        <v>58</v>
      </c>
      <c r="F1144" s="54" t="s">
        <v>1203</v>
      </c>
      <c r="G1144" s="34"/>
      <c r="H1144" s="34" t="str">
        <f>IF(LEFT('PL1(Full)'!$F1144,4)="Thôn","Thôn","Tổ")</f>
        <v>Thôn</v>
      </c>
      <c r="I1144" s="36">
        <v>61</v>
      </c>
      <c r="J1144" s="36">
        <v>361</v>
      </c>
      <c r="K1144" s="36">
        <v>61</v>
      </c>
      <c r="L1144" s="37">
        <f t="shared" si="0"/>
        <v>100</v>
      </c>
      <c r="M1144" s="36">
        <v>37</v>
      </c>
      <c r="N1144" s="38">
        <f t="shared" si="1"/>
        <v>60.655737704918032</v>
      </c>
      <c r="O1144" s="36">
        <v>37</v>
      </c>
      <c r="P1144" s="38">
        <f t="shared" si="2"/>
        <v>100</v>
      </c>
      <c r="Q1144" s="39" t="s">
        <v>63</v>
      </c>
      <c r="R1144" s="39" t="str">
        <f t="shared" si="3"/>
        <v>X</v>
      </c>
      <c r="S1144" s="34" t="s">
        <v>60</v>
      </c>
      <c r="T1144" s="34" t="str">
        <f>IF('PL1(Full)'!$N1144&gt;=20,"x",IF(AND('PL1(Full)'!$N1144&gt;=15,'PL1(Full)'!$P1144&gt;60),"x",""))</f>
        <v>x</v>
      </c>
      <c r="U1144" s="34" t="str">
        <f>IF(AND('PL1(Full)'!$H1144="Thôn",'PL1(Full)'!$I1144&lt;75),"x",IF(AND('PL1(Full)'!$H1144="Tổ",'PL1(Full)'!$I1144&lt;100),"x","-"))</f>
        <v>x</v>
      </c>
      <c r="V1144" s="34" t="str">
        <f>IF(AND('PL1(Full)'!$H1144="Thôn",'PL1(Full)'!$I1144&lt;140),"x",IF(AND('PL1(Full)'!$H1144="Tổ",'PL1(Full)'!$I1144&lt;210),"x","-"))</f>
        <v>x</v>
      </c>
      <c r="W1144" s="40" t="str">
        <f t="shared" si="175"/>
        <v>Loại 3</v>
      </c>
      <c r="X1144" s="34"/>
    </row>
    <row r="1145" spans="1:24" ht="15.75">
      <c r="A1145" s="30">
        <f>_xlfn.AGGREGATE(4,7,A$6:A1144)+1</f>
        <v>866</v>
      </c>
      <c r="B1145" s="54" t="str">
        <f t="shared" si="191"/>
        <v>H. Pác Nặm</v>
      </c>
      <c r="C1145" s="54" t="str">
        <f t="shared" si="197"/>
        <v>X. Giáo Hiệu</v>
      </c>
      <c r="D1145" s="34"/>
      <c r="E1145" s="34" t="s">
        <v>58</v>
      </c>
      <c r="F1145" s="54" t="s">
        <v>1204</v>
      </c>
      <c r="G1145" s="34"/>
      <c r="H1145" s="34" t="str">
        <f>IF(LEFT('PL1(Full)'!$F1145,4)="Thôn","Thôn","Tổ")</f>
        <v>Thôn</v>
      </c>
      <c r="I1145" s="36">
        <v>70</v>
      </c>
      <c r="J1145" s="36">
        <v>320</v>
      </c>
      <c r="K1145" s="36">
        <v>70</v>
      </c>
      <c r="L1145" s="37">
        <f t="shared" si="0"/>
        <v>100</v>
      </c>
      <c r="M1145" s="36">
        <v>23</v>
      </c>
      <c r="N1145" s="38">
        <f t="shared" si="1"/>
        <v>32.857142857142854</v>
      </c>
      <c r="O1145" s="36">
        <v>23</v>
      </c>
      <c r="P1145" s="38">
        <f t="shared" si="2"/>
        <v>100</v>
      </c>
      <c r="Q1145" s="39" t="s">
        <v>56</v>
      </c>
      <c r="R1145" s="39" t="str">
        <f t="shared" si="3"/>
        <v>X</v>
      </c>
      <c r="S1145" s="34"/>
      <c r="T1145" s="34" t="str">
        <f>IF('PL1(Full)'!$N1145&gt;=20,"x",IF(AND('PL1(Full)'!$N1145&gt;=15,'PL1(Full)'!$P1145&gt;60),"x",""))</f>
        <v>x</v>
      </c>
      <c r="U1145" s="34" t="str">
        <f>IF(AND('PL1(Full)'!$H1145="Thôn",'PL1(Full)'!$I1145&lt;75),"x",IF(AND('PL1(Full)'!$H1145="Tổ",'PL1(Full)'!$I1145&lt;100),"x","-"))</f>
        <v>x</v>
      </c>
      <c r="V1145" s="34" t="str">
        <f>IF(AND('PL1(Full)'!$H1145="Thôn",'PL1(Full)'!$I1145&lt;140),"x",IF(AND('PL1(Full)'!$H1145="Tổ",'PL1(Full)'!$I1145&lt;210),"x","-"))</f>
        <v>x</v>
      </c>
      <c r="W1145" s="40" t="str">
        <f t="shared" si="175"/>
        <v>Loại 3</v>
      </c>
      <c r="X1145" s="34"/>
    </row>
    <row r="1146" spans="1:24" ht="15.75" customHeight="1">
      <c r="A1146" s="30">
        <f>_xlfn.AGGREGATE(4,7,A$6:A1145)+1</f>
        <v>867</v>
      </c>
      <c r="B1146" s="54" t="str">
        <f t="shared" si="191"/>
        <v>H. Pác Nặm</v>
      </c>
      <c r="C1146" s="54" t="str">
        <f t="shared" si="197"/>
        <v>X. Giáo Hiệu</v>
      </c>
      <c r="D1146" s="34"/>
      <c r="E1146" s="34" t="s">
        <v>58</v>
      </c>
      <c r="F1146" s="54" t="s">
        <v>360</v>
      </c>
      <c r="G1146" s="34"/>
      <c r="H1146" s="34" t="str">
        <f>IF(LEFT('PL1(Full)'!$F1146,4)="Thôn","Thôn","Tổ")</f>
        <v>Thôn</v>
      </c>
      <c r="I1146" s="36">
        <v>50</v>
      </c>
      <c r="J1146" s="36">
        <v>222</v>
      </c>
      <c r="K1146" s="36">
        <v>50</v>
      </c>
      <c r="L1146" s="37">
        <f t="shared" si="0"/>
        <v>100</v>
      </c>
      <c r="M1146" s="36">
        <v>9</v>
      </c>
      <c r="N1146" s="38">
        <f t="shared" si="1"/>
        <v>18</v>
      </c>
      <c r="O1146" s="36">
        <v>9</v>
      </c>
      <c r="P1146" s="38">
        <f t="shared" si="2"/>
        <v>100</v>
      </c>
      <c r="Q1146" s="39" t="s">
        <v>63</v>
      </c>
      <c r="R1146" s="39" t="str">
        <f t="shared" si="3"/>
        <v>X</v>
      </c>
      <c r="S1146" s="34"/>
      <c r="T1146" s="34" t="str">
        <f>IF('PL1(Full)'!$N1146&gt;=20,"x",IF(AND('PL1(Full)'!$N1146&gt;=15,'PL1(Full)'!$P1146&gt;60),"x",""))</f>
        <v>x</v>
      </c>
      <c r="U1146" s="34" t="str">
        <f>IF(AND('PL1(Full)'!$H1146="Thôn",'PL1(Full)'!$I1146&lt;75),"x",IF(AND('PL1(Full)'!$H1146="Tổ",'PL1(Full)'!$I1146&lt;100),"x","-"))</f>
        <v>x</v>
      </c>
      <c r="V1146" s="34" t="str">
        <f>IF(AND('PL1(Full)'!$H1146="Thôn",'PL1(Full)'!$I1146&lt;140),"x",IF(AND('PL1(Full)'!$H1146="Tổ",'PL1(Full)'!$I1146&lt;210),"x","-"))</f>
        <v>x</v>
      </c>
      <c r="W1146" s="40" t="str">
        <f t="shared" si="175"/>
        <v>Loại 3</v>
      </c>
      <c r="X1146" s="34"/>
    </row>
    <row r="1147" spans="1:24" ht="15.75" customHeight="1">
      <c r="A1147" s="30">
        <f>_xlfn.AGGREGATE(4,7,A$6:A1146)+1</f>
        <v>868</v>
      </c>
      <c r="B1147" s="54" t="str">
        <f t="shared" si="191"/>
        <v>H. Pác Nặm</v>
      </c>
      <c r="C1147" s="54" t="str">
        <f t="shared" si="197"/>
        <v>X. Giáo Hiệu</v>
      </c>
      <c r="D1147" s="34"/>
      <c r="E1147" s="34" t="s">
        <v>58</v>
      </c>
      <c r="F1147" s="54" t="s">
        <v>332</v>
      </c>
      <c r="G1147" s="34"/>
      <c r="H1147" s="34" t="str">
        <f>IF(LEFT('PL1(Full)'!$F1147,4)="Thôn","Thôn","Tổ")</f>
        <v>Thôn</v>
      </c>
      <c r="I1147" s="36">
        <v>57</v>
      </c>
      <c r="J1147" s="36">
        <v>253</v>
      </c>
      <c r="K1147" s="36">
        <v>57</v>
      </c>
      <c r="L1147" s="37">
        <f t="shared" si="0"/>
        <v>100</v>
      </c>
      <c r="M1147" s="36">
        <v>3</v>
      </c>
      <c r="N1147" s="38">
        <f t="shared" si="1"/>
        <v>5.2631578947368425</v>
      </c>
      <c r="O1147" s="36">
        <v>3</v>
      </c>
      <c r="P1147" s="38">
        <f t="shared" si="2"/>
        <v>100</v>
      </c>
      <c r="Q1147" s="39" t="s">
        <v>63</v>
      </c>
      <c r="R1147" s="39" t="str">
        <f t="shared" si="3"/>
        <v>X</v>
      </c>
      <c r="S1147" s="34"/>
      <c r="T1147" s="34" t="str">
        <f>IF('PL1(Full)'!$N1147&gt;=20,"x",IF(AND('PL1(Full)'!$N1147&gt;=15,'PL1(Full)'!$P1147&gt;60),"x",""))</f>
        <v/>
      </c>
      <c r="U1147" s="34" t="str">
        <f>IF(AND('PL1(Full)'!$H1147="Thôn",'PL1(Full)'!$I1147&lt;75),"x",IF(AND('PL1(Full)'!$H1147="Tổ",'PL1(Full)'!$I1147&lt;100),"x","-"))</f>
        <v>x</v>
      </c>
      <c r="V1147" s="34" t="str">
        <f>IF(AND('PL1(Full)'!$H1147="Thôn",'PL1(Full)'!$I1147&lt;140),"x",IF(AND('PL1(Full)'!$H1147="Tổ",'PL1(Full)'!$I1147&lt;210),"x","-"))</f>
        <v>x</v>
      </c>
      <c r="W1147" s="40" t="str">
        <f t="shared" si="175"/>
        <v>Loại 3</v>
      </c>
      <c r="X1147" s="34"/>
    </row>
    <row r="1148" spans="1:24" ht="15.75" customHeight="1">
      <c r="A1148" s="30">
        <f>_xlfn.AGGREGATE(4,7,A$6:A1147)+1</f>
        <v>869</v>
      </c>
      <c r="B1148" s="54" t="str">
        <f t="shared" si="191"/>
        <v>H. Pác Nặm</v>
      </c>
      <c r="C1148" s="54" t="str">
        <f t="shared" si="197"/>
        <v>X. Giáo Hiệu</v>
      </c>
      <c r="D1148" s="34"/>
      <c r="E1148" s="34" t="s">
        <v>58</v>
      </c>
      <c r="F1148" s="54" t="s">
        <v>1205</v>
      </c>
      <c r="G1148" s="34"/>
      <c r="H1148" s="34" t="str">
        <f>IF(LEFT('PL1(Full)'!$F1148,4)="Thôn","Thôn","Tổ")</f>
        <v>Thôn</v>
      </c>
      <c r="I1148" s="36">
        <v>48</v>
      </c>
      <c r="J1148" s="36">
        <v>230</v>
      </c>
      <c r="K1148" s="36">
        <v>48</v>
      </c>
      <c r="L1148" s="37">
        <f t="shared" si="0"/>
        <v>100</v>
      </c>
      <c r="M1148" s="36">
        <v>16</v>
      </c>
      <c r="N1148" s="38">
        <f t="shared" si="1"/>
        <v>33.333333333333336</v>
      </c>
      <c r="O1148" s="36">
        <v>16</v>
      </c>
      <c r="P1148" s="38">
        <f t="shared" si="2"/>
        <v>100</v>
      </c>
      <c r="Q1148" s="39" t="s">
        <v>63</v>
      </c>
      <c r="R1148" s="39" t="str">
        <f t="shared" si="3"/>
        <v>X</v>
      </c>
      <c r="S1148" s="34" t="s">
        <v>60</v>
      </c>
      <c r="T1148" s="34" t="str">
        <f>IF('PL1(Full)'!$N1148&gt;=20,"x",IF(AND('PL1(Full)'!$N1148&gt;=15,'PL1(Full)'!$P1148&gt;60),"x",""))</f>
        <v>x</v>
      </c>
      <c r="U1148" s="34" t="str">
        <f>IF(AND('PL1(Full)'!$H1148="Thôn",'PL1(Full)'!$I1148&lt;75),"x",IF(AND('PL1(Full)'!$H1148="Tổ",'PL1(Full)'!$I1148&lt;100),"x","-"))</f>
        <v>x</v>
      </c>
      <c r="V1148" s="34" t="str">
        <f>IF(AND('PL1(Full)'!$H1148="Thôn",'PL1(Full)'!$I1148&lt;140),"x",IF(AND('PL1(Full)'!$H1148="Tổ",'PL1(Full)'!$I1148&lt;210),"x","-"))</f>
        <v>x</v>
      </c>
      <c r="W1148" s="40" t="str">
        <f t="shared" si="175"/>
        <v>Loại 3</v>
      </c>
      <c r="X1148" s="34"/>
    </row>
    <row r="1149" spans="1:24" ht="15.75" customHeight="1">
      <c r="A1149" s="41">
        <f>_xlfn.AGGREGATE(4,7,A$6:A1148)+1</f>
        <v>870</v>
      </c>
      <c r="B1149" s="55" t="str">
        <f t="shared" si="191"/>
        <v>H. Pác Nặm</v>
      </c>
      <c r="C1149" s="55" t="str">
        <f t="shared" si="197"/>
        <v>X. Giáo Hiệu</v>
      </c>
      <c r="D1149" s="50"/>
      <c r="E1149" s="50" t="s">
        <v>58</v>
      </c>
      <c r="F1149" s="55" t="s">
        <v>1206</v>
      </c>
      <c r="G1149" s="50"/>
      <c r="H1149" s="50" t="str">
        <f>IF(LEFT('PL1(Full)'!$F1149,4)="Thôn","Thôn","Tổ")</f>
        <v>Thôn</v>
      </c>
      <c r="I1149" s="46">
        <v>53</v>
      </c>
      <c r="J1149" s="46">
        <v>242</v>
      </c>
      <c r="K1149" s="46">
        <v>53</v>
      </c>
      <c r="L1149" s="47">
        <f t="shared" si="0"/>
        <v>100</v>
      </c>
      <c r="M1149" s="46">
        <v>21</v>
      </c>
      <c r="N1149" s="48">
        <f t="shared" si="1"/>
        <v>39.622641509433961</v>
      </c>
      <c r="O1149" s="46">
        <v>21</v>
      </c>
      <c r="P1149" s="48">
        <f t="shared" si="2"/>
        <v>100</v>
      </c>
      <c r="Q1149" s="49" t="s">
        <v>63</v>
      </c>
      <c r="R1149" s="49" t="str">
        <f t="shared" si="3"/>
        <v>X</v>
      </c>
      <c r="S1149" s="50"/>
      <c r="T1149" s="50" t="str">
        <f>IF('PL1(Full)'!$N1149&gt;=20,"x",IF(AND('PL1(Full)'!$N1149&gt;=15,'PL1(Full)'!$P1149&gt;60),"x",""))</f>
        <v>x</v>
      </c>
      <c r="U1149" s="50" t="str">
        <f>IF(AND('PL1(Full)'!$H1149="Thôn",'PL1(Full)'!$I1149&lt;75),"x",IF(AND('PL1(Full)'!$H1149="Tổ",'PL1(Full)'!$I1149&lt;100),"x","-"))</f>
        <v>x</v>
      </c>
      <c r="V1149" s="34" t="str">
        <f>IF(AND('PL1(Full)'!$H1149="Thôn",'PL1(Full)'!$I1149&lt;140),"x",IF(AND('PL1(Full)'!$H1149="Tổ",'PL1(Full)'!$I1149&lt;210),"x","-"))</f>
        <v>x</v>
      </c>
      <c r="W1149" s="51" t="str">
        <f t="shared" si="175"/>
        <v>Loại 3</v>
      </c>
      <c r="X1149" s="50"/>
    </row>
    <row r="1150" spans="1:24" ht="15.75" hidden="1">
      <c r="A1150" s="52">
        <f>_xlfn.AGGREGATE(4,7,A$6:A1149)+1</f>
        <v>871</v>
      </c>
      <c r="B1150" s="53" t="str">
        <f t="shared" si="191"/>
        <v>H. Pác Nặm</v>
      </c>
      <c r="C1150" s="14" t="s">
        <v>1207</v>
      </c>
      <c r="D1150" s="15" t="s">
        <v>58</v>
      </c>
      <c r="E1150" s="16" t="s">
        <v>58</v>
      </c>
      <c r="F1150" s="65" t="s">
        <v>1208</v>
      </c>
      <c r="G1150" s="18"/>
      <c r="H1150" s="18" t="str">
        <f>IF(LEFT('PL1(Full)'!$F1150,4)="Thôn","Thôn","Tổ")</f>
        <v>Thôn</v>
      </c>
      <c r="I1150" s="19">
        <v>113</v>
      </c>
      <c r="J1150" s="19">
        <v>532</v>
      </c>
      <c r="K1150" s="19">
        <v>113</v>
      </c>
      <c r="L1150" s="21">
        <f t="shared" si="0"/>
        <v>100</v>
      </c>
      <c r="M1150" s="19">
        <v>55</v>
      </c>
      <c r="N1150" s="22">
        <f t="shared" si="1"/>
        <v>48.672566371681413</v>
      </c>
      <c r="O1150" s="19">
        <v>55</v>
      </c>
      <c r="P1150" s="22">
        <f t="shared" si="2"/>
        <v>100</v>
      </c>
      <c r="Q1150" s="149" t="s">
        <v>63</v>
      </c>
      <c r="R1150" s="24" t="str">
        <f t="shared" si="3"/>
        <v>X</v>
      </c>
      <c r="S1150" s="25" t="s">
        <v>60</v>
      </c>
      <c r="T1150" s="26" t="str">
        <f>IF('PL1(Full)'!$N1150&gt;=20,"x",IF(AND('PL1(Full)'!$N1150&gt;=15,'PL1(Full)'!$P1150&gt;60),"x",""))</f>
        <v>x</v>
      </c>
      <c r="U1150" s="27" t="str">
        <f>IF(AND('PL1(Full)'!$H1150="Thôn",'PL1(Full)'!$I1150&lt;75),"x",IF(AND('PL1(Full)'!$H1150="Tổ",'PL1(Full)'!$I1150&lt;100),"x","-"))</f>
        <v>-</v>
      </c>
      <c r="V1150" s="28" t="str">
        <f>IF(AND('PL1(Full)'!$H1150="Thôn",'PL1(Full)'!$I1150&lt;140),"x",IF(AND('PL1(Full)'!$H1150="Tổ",'PL1(Full)'!$I1150&lt;210),"x","-"))</f>
        <v>x</v>
      </c>
      <c r="W1150" s="29" t="str">
        <f t="shared" si="175"/>
        <v>Loại 2</v>
      </c>
      <c r="X1150" s="25"/>
    </row>
    <row r="1151" spans="1:24" ht="15.75" hidden="1" customHeight="1">
      <c r="A1151" s="30">
        <f>_xlfn.AGGREGATE(4,7,A$6:A1150)+1</f>
        <v>871</v>
      </c>
      <c r="B1151" s="54" t="str">
        <f t="shared" si="191"/>
        <v>H. Pác Nặm</v>
      </c>
      <c r="C1151" s="54" t="str">
        <f t="shared" ref="C1151:C1164" si="198">C1150</f>
        <v>X. Nghiên Loan</v>
      </c>
      <c r="D1151" s="32"/>
      <c r="E1151" s="32" t="s">
        <v>58</v>
      </c>
      <c r="F1151" s="66" t="s">
        <v>1209</v>
      </c>
      <c r="G1151" s="32"/>
      <c r="H1151" s="32" t="str">
        <f>IF(LEFT('PL1(Full)'!$F1151,4)="Thôn","Thôn","Tổ")</f>
        <v>Thôn</v>
      </c>
      <c r="I1151" s="35">
        <v>115</v>
      </c>
      <c r="J1151" s="35">
        <v>514</v>
      </c>
      <c r="K1151" s="35">
        <v>114</v>
      </c>
      <c r="L1151" s="37">
        <f t="shared" si="0"/>
        <v>99.130434782608702</v>
      </c>
      <c r="M1151" s="35">
        <v>65</v>
      </c>
      <c r="N1151" s="38">
        <f t="shared" si="1"/>
        <v>56.521739130434781</v>
      </c>
      <c r="O1151" s="35">
        <v>64</v>
      </c>
      <c r="P1151" s="38">
        <f t="shared" si="2"/>
        <v>98.461538461538467</v>
      </c>
      <c r="Q1151" s="39" t="s">
        <v>1168</v>
      </c>
      <c r="R1151" s="39" t="str">
        <f t="shared" si="3"/>
        <v>T</v>
      </c>
      <c r="S1151" s="34" t="s">
        <v>60</v>
      </c>
      <c r="T1151" s="34" t="str">
        <f>IF('PL1(Full)'!$N1151&gt;=20,"x",IF(AND('PL1(Full)'!$N1151&gt;=15,'PL1(Full)'!$P1151&gt;60),"x",""))</f>
        <v>x</v>
      </c>
      <c r="U1151" s="34" t="str">
        <f>IF(AND('PL1(Full)'!$H1151="Thôn",'PL1(Full)'!$I1151&lt;75),"x",IF(AND('PL1(Full)'!$H1151="Tổ",'PL1(Full)'!$I1151&lt;100),"x","-"))</f>
        <v>-</v>
      </c>
      <c r="V1151" s="34" t="str">
        <f>IF(AND('PL1(Full)'!$H1151="Thôn",'PL1(Full)'!$I1151&lt;140),"x",IF(AND('PL1(Full)'!$H1151="Tổ",'PL1(Full)'!$I1151&lt;210),"x","-"))</f>
        <v>x</v>
      </c>
      <c r="W1151" s="40" t="str">
        <f t="shared" si="175"/>
        <v>Loại 2</v>
      </c>
      <c r="X1151" s="34"/>
    </row>
    <row r="1152" spans="1:24" ht="15.75" customHeight="1">
      <c r="A1152" s="30">
        <f>_xlfn.AGGREGATE(4,7,A$6:A1151)+1</f>
        <v>871</v>
      </c>
      <c r="B1152" s="54" t="str">
        <f t="shared" si="191"/>
        <v>H. Pác Nặm</v>
      </c>
      <c r="C1152" s="54" t="str">
        <f t="shared" si="198"/>
        <v>X. Nghiên Loan</v>
      </c>
      <c r="D1152" s="32"/>
      <c r="E1152" s="32" t="s">
        <v>58</v>
      </c>
      <c r="F1152" s="66" t="s">
        <v>1210</v>
      </c>
      <c r="G1152" s="32"/>
      <c r="H1152" s="32" t="str">
        <f>IF(LEFT('PL1(Full)'!$F1152,4)="Thôn","Thôn","Tổ")</f>
        <v>Thôn</v>
      </c>
      <c r="I1152" s="35">
        <v>70</v>
      </c>
      <c r="J1152" s="35">
        <v>349</v>
      </c>
      <c r="K1152" s="35">
        <v>69</v>
      </c>
      <c r="L1152" s="37">
        <f t="shared" si="0"/>
        <v>98.571428571428569</v>
      </c>
      <c r="M1152" s="35">
        <v>47</v>
      </c>
      <c r="N1152" s="38">
        <f t="shared" si="1"/>
        <v>67.142857142857139</v>
      </c>
      <c r="O1152" s="35">
        <v>46</v>
      </c>
      <c r="P1152" s="38">
        <f t="shared" si="2"/>
        <v>97.872340425531917</v>
      </c>
      <c r="Q1152" s="39" t="s">
        <v>82</v>
      </c>
      <c r="R1152" s="39" t="str">
        <f t="shared" si="3"/>
        <v>X</v>
      </c>
      <c r="S1152" s="34" t="s">
        <v>60</v>
      </c>
      <c r="T1152" s="34" t="str">
        <f>IF('PL1(Full)'!$N1152&gt;=20,"x",IF(AND('PL1(Full)'!$N1152&gt;=15,'PL1(Full)'!$P1152&gt;60),"x",""))</f>
        <v>x</v>
      </c>
      <c r="U1152" s="34" t="str">
        <f>IF(AND('PL1(Full)'!$H1152="Thôn",'PL1(Full)'!$I1152&lt;75),"x",IF(AND('PL1(Full)'!$H1152="Tổ",'PL1(Full)'!$I1152&lt;100),"x","-"))</f>
        <v>x</v>
      </c>
      <c r="V1152" s="34" t="str">
        <f>IF(AND('PL1(Full)'!$H1152="Thôn",'PL1(Full)'!$I1152&lt;140),"x",IF(AND('PL1(Full)'!$H1152="Tổ",'PL1(Full)'!$I1152&lt;210),"x","-"))</f>
        <v>x</v>
      </c>
      <c r="W1152" s="40" t="str">
        <f t="shared" si="175"/>
        <v>Loại 3</v>
      </c>
      <c r="X1152" s="34"/>
    </row>
    <row r="1153" spans="1:24" ht="15.75" customHeight="1">
      <c r="A1153" s="30">
        <f>_xlfn.AGGREGATE(4,7,A$6:A1152)+1</f>
        <v>872</v>
      </c>
      <c r="B1153" s="54" t="str">
        <f t="shared" si="191"/>
        <v>H. Pác Nặm</v>
      </c>
      <c r="C1153" s="54" t="str">
        <f t="shared" si="198"/>
        <v>X. Nghiên Loan</v>
      </c>
      <c r="D1153" s="32"/>
      <c r="E1153" s="32" t="s">
        <v>58</v>
      </c>
      <c r="F1153" s="66" t="s">
        <v>1211</v>
      </c>
      <c r="G1153" s="32"/>
      <c r="H1153" s="32" t="str">
        <f>IF(LEFT('PL1(Full)'!$F1153,4)="Thôn","Thôn","Tổ")</f>
        <v>Thôn</v>
      </c>
      <c r="I1153" s="35">
        <v>38</v>
      </c>
      <c r="J1153" s="35">
        <v>172</v>
      </c>
      <c r="K1153" s="35">
        <v>38</v>
      </c>
      <c r="L1153" s="37">
        <f t="shared" si="0"/>
        <v>100</v>
      </c>
      <c r="M1153" s="35">
        <v>31</v>
      </c>
      <c r="N1153" s="38">
        <f t="shared" si="1"/>
        <v>81.578947368421055</v>
      </c>
      <c r="O1153" s="35">
        <v>31</v>
      </c>
      <c r="P1153" s="38">
        <f t="shared" si="2"/>
        <v>100</v>
      </c>
      <c r="Q1153" s="39" t="s">
        <v>63</v>
      </c>
      <c r="R1153" s="39" t="str">
        <f t="shared" si="3"/>
        <v>X</v>
      </c>
      <c r="S1153" s="34" t="s">
        <v>60</v>
      </c>
      <c r="T1153" s="34" t="str">
        <f>IF('PL1(Full)'!$N1153&gt;=20,"x",IF(AND('PL1(Full)'!$N1153&gt;=15,'PL1(Full)'!$P1153&gt;60),"x",""))</f>
        <v>x</v>
      </c>
      <c r="U1153" s="34" t="str">
        <f>IF(AND('PL1(Full)'!$H1153="Thôn",'PL1(Full)'!$I1153&lt;75),"x",IF(AND('PL1(Full)'!$H1153="Tổ",'PL1(Full)'!$I1153&lt;100),"x","-"))</f>
        <v>x</v>
      </c>
      <c r="V1153" s="34" t="str">
        <f>IF(AND('PL1(Full)'!$H1153="Thôn",'PL1(Full)'!$I1153&lt;140),"x",IF(AND('PL1(Full)'!$H1153="Tổ",'PL1(Full)'!$I1153&lt;210),"x","-"))</f>
        <v>x</v>
      </c>
      <c r="W1153" s="40" t="str">
        <f t="shared" si="175"/>
        <v>Loại 3</v>
      </c>
      <c r="X1153" s="34"/>
    </row>
    <row r="1154" spans="1:24" ht="15.75" hidden="1" customHeight="1">
      <c r="A1154" s="30">
        <f>_xlfn.AGGREGATE(4,7,A$6:A1153)+1</f>
        <v>873</v>
      </c>
      <c r="B1154" s="54" t="str">
        <f t="shared" si="191"/>
        <v>H. Pác Nặm</v>
      </c>
      <c r="C1154" s="54" t="str">
        <f t="shared" si="198"/>
        <v>X. Nghiên Loan</v>
      </c>
      <c r="D1154" s="32"/>
      <c r="E1154" s="32" t="s">
        <v>58</v>
      </c>
      <c r="F1154" s="66" t="s">
        <v>1212</v>
      </c>
      <c r="G1154" s="32"/>
      <c r="H1154" s="32" t="str">
        <f>IF(LEFT('PL1(Full)'!$F1154,4)="Thôn","Thôn","Tổ")</f>
        <v>Thôn</v>
      </c>
      <c r="I1154" s="35">
        <v>104</v>
      </c>
      <c r="J1154" s="35">
        <v>456</v>
      </c>
      <c r="K1154" s="35">
        <v>104</v>
      </c>
      <c r="L1154" s="37">
        <f t="shared" si="0"/>
        <v>100</v>
      </c>
      <c r="M1154" s="35">
        <v>57</v>
      </c>
      <c r="N1154" s="38">
        <f t="shared" si="1"/>
        <v>54.807692307692307</v>
      </c>
      <c r="O1154" s="35">
        <v>57</v>
      </c>
      <c r="P1154" s="38">
        <f t="shared" si="2"/>
        <v>100</v>
      </c>
      <c r="Q1154" s="39" t="s">
        <v>117</v>
      </c>
      <c r="R1154" s="39" t="str">
        <f t="shared" si="3"/>
        <v>T</v>
      </c>
      <c r="S1154" s="34" t="s">
        <v>60</v>
      </c>
      <c r="T1154" s="34" t="str">
        <f>IF('PL1(Full)'!$N1154&gt;=20,"x",IF(AND('PL1(Full)'!$N1154&gt;=15,'PL1(Full)'!$P1154&gt;60),"x",""))</f>
        <v>x</v>
      </c>
      <c r="U1154" s="34" t="str">
        <f>IF(AND('PL1(Full)'!$H1154="Thôn",'PL1(Full)'!$I1154&lt;75),"x",IF(AND('PL1(Full)'!$H1154="Tổ",'PL1(Full)'!$I1154&lt;100),"x","-"))</f>
        <v>-</v>
      </c>
      <c r="V1154" s="34" t="str">
        <f>IF(AND('PL1(Full)'!$H1154="Thôn",'PL1(Full)'!$I1154&lt;140),"x",IF(AND('PL1(Full)'!$H1154="Tổ",'PL1(Full)'!$I1154&lt;210),"x","-"))</f>
        <v>x</v>
      </c>
      <c r="W1154" s="40" t="str">
        <f t="shared" si="175"/>
        <v>Loại 2</v>
      </c>
      <c r="X1154" s="34"/>
    </row>
    <row r="1155" spans="1:24" ht="15.75" customHeight="1">
      <c r="A1155" s="30">
        <f>_xlfn.AGGREGATE(4,7,A$6:A1154)+1</f>
        <v>873</v>
      </c>
      <c r="B1155" s="54" t="str">
        <f t="shared" si="191"/>
        <v>H. Pác Nặm</v>
      </c>
      <c r="C1155" s="54" t="str">
        <f t="shared" si="198"/>
        <v>X. Nghiên Loan</v>
      </c>
      <c r="D1155" s="32"/>
      <c r="E1155" s="32" t="s">
        <v>58</v>
      </c>
      <c r="F1155" s="66" t="s">
        <v>1213</v>
      </c>
      <c r="G1155" s="32"/>
      <c r="H1155" s="32" t="str">
        <f>IF(LEFT('PL1(Full)'!$F1155,4)="Thôn","Thôn","Tổ")</f>
        <v>Thôn</v>
      </c>
      <c r="I1155" s="35">
        <v>74</v>
      </c>
      <c r="J1155" s="35">
        <v>337</v>
      </c>
      <c r="K1155" s="35">
        <v>74</v>
      </c>
      <c r="L1155" s="37">
        <f t="shared" si="0"/>
        <v>100</v>
      </c>
      <c r="M1155" s="35">
        <v>34</v>
      </c>
      <c r="N1155" s="38">
        <f t="shared" si="1"/>
        <v>45.945945945945944</v>
      </c>
      <c r="O1155" s="35">
        <v>34</v>
      </c>
      <c r="P1155" s="38">
        <f t="shared" si="2"/>
        <v>100</v>
      </c>
      <c r="Q1155" s="39" t="s">
        <v>996</v>
      </c>
      <c r="R1155" s="39" t="str">
        <f t="shared" si="3"/>
        <v>T</v>
      </c>
      <c r="S1155" s="34" t="s">
        <v>60</v>
      </c>
      <c r="T1155" s="34" t="str">
        <f>IF('PL1(Full)'!$N1155&gt;=20,"x",IF(AND('PL1(Full)'!$N1155&gt;=15,'PL1(Full)'!$P1155&gt;60),"x",""))</f>
        <v>x</v>
      </c>
      <c r="U1155" s="34" t="str">
        <f>IF(AND('PL1(Full)'!$H1155="Thôn",'PL1(Full)'!$I1155&lt;75),"x",IF(AND('PL1(Full)'!$H1155="Tổ",'PL1(Full)'!$I1155&lt;100),"x","-"))</f>
        <v>x</v>
      </c>
      <c r="V1155" s="34" t="str">
        <f>IF(AND('PL1(Full)'!$H1155="Thôn",'PL1(Full)'!$I1155&lt;140),"x",IF(AND('PL1(Full)'!$H1155="Tổ",'PL1(Full)'!$I1155&lt;210),"x","-"))</f>
        <v>x</v>
      </c>
      <c r="W1155" s="40" t="str">
        <f t="shared" si="175"/>
        <v>Loại 3</v>
      </c>
      <c r="X1155" s="34"/>
    </row>
    <row r="1156" spans="1:24" ht="15.75" customHeight="1">
      <c r="A1156" s="30">
        <f>_xlfn.AGGREGATE(4,7,A$6:A1155)+1</f>
        <v>874</v>
      </c>
      <c r="B1156" s="54" t="str">
        <f t="shared" si="191"/>
        <v>H. Pác Nặm</v>
      </c>
      <c r="C1156" s="54" t="str">
        <f t="shared" si="198"/>
        <v>X. Nghiên Loan</v>
      </c>
      <c r="D1156" s="32"/>
      <c r="E1156" s="32" t="s">
        <v>58</v>
      </c>
      <c r="F1156" s="66" t="s">
        <v>1214</v>
      </c>
      <c r="G1156" s="32"/>
      <c r="H1156" s="32" t="str">
        <f>IF(LEFT('PL1(Full)'!$F1156,4)="Thôn","Thôn","Tổ")</f>
        <v>Thôn</v>
      </c>
      <c r="I1156" s="35">
        <v>59</v>
      </c>
      <c r="J1156" s="35">
        <v>265</v>
      </c>
      <c r="K1156" s="35">
        <v>59</v>
      </c>
      <c r="L1156" s="37">
        <f t="shared" si="0"/>
        <v>100</v>
      </c>
      <c r="M1156" s="35">
        <v>32</v>
      </c>
      <c r="N1156" s="38">
        <f t="shared" si="1"/>
        <v>54.237288135593218</v>
      </c>
      <c r="O1156" s="35">
        <v>32</v>
      </c>
      <c r="P1156" s="38">
        <f t="shared" si="2"/>
        <v>100</v>
      </c>
      <c r="Q1156" s="39" t="s">
        <v>82</v>
      </c>
      <c r="R1156" s="39" t="str">
        <f t="shared" si="3"/>
        <v>X</v>
      </c>
      <c r="S1156" s="34" t="s">
        <v>60</v>
      </c>
      <c r="T1156" s="34" t="str">
        <f>IF('PL1(Full)'!$N1156&gt;=20,"x",IF(AND('PL1(Full)'!$N1156&gt;=15,'PL1(Full)'!$P1156&gt;60),"x",""))</f>
        <v>x</v>
      </c>
      <c r="U1156" s="34" t="str">
        <f>IF(AND('PL1(Full)'!$H1156="Thôn",'PL1(Full)'!$I1156&lt;75),"x",IF(AND('PL1(Full)'!$H1156="Tổ",'PL1(Full)'!$I1156&lt;100),"x","-"))</f>
        <v>x</v>
      </c>
      <c r="V1156" s="34" t="str">
        <f>IF(AND('PL1(Full)'!$H1156="Thôn",'PL1(Full)'!$I1156&lt;140),"x",IF(AND('PL1(Full)'!$H1156="Tổ",'PL1(Full)'!$I1156&lt;210),"x","-"))</f>
        <v>x</v>
      </c>
      <c r="W1156" s="40" t="str">
        <f t="shared" si="175"/>
        <v>Loại 3</v>
      </c>
      <c r="X1156" s="34"/>
    </row>
    <row r="1157" spans="1:24" ht="15.75" customHeight="1">
      <c r="A1157" s="30">
        <f>_xlfn.AGGREGATE(4,7,A$6:A1156)+1</f>
        <v>875</v>
      </c>
      <c r="B1157" s="54" t="str">
        <f t="shared" si="191"/>
        <v>H. Pác Nặm</v>
      </c>
      <c r="C1157" s="54" t="str">
        <f t="shared" si="198"/>
        <v>X. Nghiên Loan</v>
      </c>
      <c r="D1157" s="32"/>
      <c r="E1157" s="32" t="s">
        <v>58</v>
      </c>
      <c r="F1157" s="66" t="s">
        <v>1215</v>
      </c>
      <c r="G1157" s="32"/>
      <c r="H1157" s="32" t="str">
        <f>IF(LEFT('PL1(Full)'!$F1157,4)="Thôn","Thôn","Tổ")</f>
        <v>Thôn</v>
      </c>
      <c r="I1157" s="35">
        <v>49</v>
      </c>
      <c r="J1157" s="35">
        <v>215</v>
      </c>
      <c r="K1157" s="35">
        <v>49</v>
      </c>
      <c r="L1157" s="37">
        <f t="shared" si="0"/>
        <v>100</v>
      </c>
      <c r="M1157" s="35">
        <v>17</v>
      </c>
      <c r="N1157" s="38">
        <f t="shared" si="1"/>
        <v>34.693877551020407</v>
      </c>
      <c r="O1157" s="35">
        <v>17</v>
      </c>
      <c r="P1157" s="38">
        <f t="shared" si="2"/>
        <v>100</v>
      </c>
      <c r="Q1157" s="39" t="s">
        <v>56</v>
      </c>
      <c r="R1157" s="39" t="str">
        <f t="shared" si="3"/>
        <v>X</v>
      </c>
      <c r="S1157" s="34" t="s">
        <v>60</v>
      </c>
      <c r="T1157" s="34" t="str">
        <f>IF('PL1(Full)'!$N1157&gt;=20,"x",IF(AND('PL1(Full)'!$N1157&gt;=15,'PL1(Full)'!$P1157&gt;60),"x",""))</f>
        <v>x</v>
      </c>
      <c r="U1157" s="34" t="str">
        <f>IF(AND('PL1(Full)'!$H1157="Thôn",'PL1(Full)'!$I1157&lt;75),"x",IF(AND('PL1(Full)'!$H1157="Tổ",'PL1(Full)'!$I1157&lt;100),"x","-"))</f>
        <v>x</v>
      </c>
      <c r="V1157" s="34" t="str">
        <f>IF(AND('PL1(Full)'!$H1157="Thôn",'PL1(Full)'!$I1157&lt;140),"x",IF(AND('PL1(Full)'!$H1157="Tổ",'PL1(Full)'!$I1157&lt;210),"x","-"))</f>
        <v>x</v>
      </c>
      <c r="W1157" s="40" t="str">
        <f t="shared" si="175"/>
        <v>Loại 3</v>
      </c>
      <c r="X1157" s="34"/>
    </row>
    <row r="1158" spans="1:24" ht="15.75" hidden="1" customHeight="1">
      <c r="A1158" s="30">
        <f>_xlfn.AGGREGATE(4,7,A$6:A1157)+1</f>
        <v>876</v>
      </c>
      <c r="B1158" s="54" t="str">
        <f t="shared" si="191"/>
        <v>H. Pác Nặm</v>
      </c>
      <c r="C1158" s="54" t="str">
        <f t="shared" si="198"/>
        <v>X. Nghiên Loan</v>
      </c>
      <c r="D1158" s="32"/>
      <c r="E1158" s="32" t="s">
        <v>58</v>
      </c>
      <c r="F1158" s="66" t="s">
        <v>1216</v>
      </c>
      <c r="G1158" s="32"/>
      <c r="H1158" s="32" t="str">
        <f>IF(LEFT('PL1(Full)'!$F1158,4)="Thôn","Thôn","Tổ")</f>
        <v>Thôn</v>
      </c>
      <c r="I1158" s="35">
        <v>127</v>
      </c>
      <c r="J1158" s="35">
        <v>682</v>
      </c>
      <c r="K1158" s="35">
        <v>127</v>
      </c>
      <c r="L1158" s="37">
        <f t="shared" si="0"/>
        <v>100</v>
      </c>
      <c r="M1158" s="35">
        <v>84</v>
      </c>
      <c r="N1158" s="38">
        <f t="shared" si="1"/>
        <v>66.141732283464563</v>
      </c>
      <c r="O1158" s="35">
        <v>84</v>
      </c>
      <c r="P1158" s="38">
        <f t="shared" si="2"/>
        <v>100</v>
      </c>
      <c r="Q1158" s="39" t="s">
        <v>43</v>
      </c>
      <c r="R1158" s="39" t="str">
        <f t="shared" si="3"/>
        <v>X</v>
      </c>
      <c r="S1158" s="34" t="s">
        <v>60</v>
      </c>
      <c r="T1158" s="34" t="str">
        <f>IF('PL1(Full)'!$N1158&gt;=20,"x",IF(AND('PL1(Full)'!$N1158&gt;=15,'PL1(Full)'!$P1158&gt;60),"x",""))</f>
        <v>x</v>
      </c>
      <c r="U1158" s="34" t="str">
        <f>IF(AND('PL1(Full)'!$H1158="Thôn",'PL1(Full)'!$I1158&lt;75),"x",IF(AND('PL1(Full)'!$H1158="Tổ",'PL1(Full)'!$I1158&lt;100),"x","-"))</f>
        <v>-</v>
      </c>
      <c r="V1158" s="34" t="str">
        <f>IF(AND('PL1(Full)'!$H1158="Thôn",'PL1(Full)'!$I1158&lt;140),"x",IF(AND('PL1(Full)'!$H1158="Tổ",'PL1(Full)'!$I1158&lt;210),"x","-"))</f>
        <v>x</v>
      </c>
      <c r="W1158" s="40" t="str">
        <f t="shared" si="175"/>
        <v>Loại 2</v>
      </c>
      <c r="X1158" s="34"/>
    </row>
    <row r="1159" spans="1:24" ht="15.75" hidden="1" customHeight="1">
      <c r="A1159" s="30">
        <f>_xlfn.AGGREGATE(4,7,A$6:A1158)+1</f>
        <v>876</v>
      </c>
      <c r="B1159" s="54" t="str">
        <f t="shared" si="191"/>
        <v>H. Pác Nặm</v>
      </c>
      <c r="C1159" s="54" t="str">
        <f t="shared" si="198"/>
        <v>X. Nghiên Loan</v>
      </c>
      <c r="D1159" s="32"/>
      <c r="E1159" s="32" t="s">
        <v>58</v>
      </c>
      <c r="F1159" s="66" t="s">
        <v>867</v>
      </c>
      <c r="G1159" s="32"/>
      <c r="H1159" s="32" t="str">
        <f>IF(LEFT('PL1(Full)'!$F1159,4)="Thôn","Thôn","Tổ")</f>
        <v>Thôn</v>
      </c>
      <c r="I1159" s="35">
        <v>84</v>
      </c>
      <c r="J1159" s="35">
        <v>390</v>
      </c>
      <c r="K1159" s="35">
        <v>84</v>
      </c>
      <c r="L1159" s="37">
        <f t="shared" si="0"/>
        <v>100</v>
      </c>
      <c r="M1159" s="35">
        <v>77</v>
      </c>
      <c r="N1159" s="38">
        <f t="shared" si="1"/>
        <v>91.666666666666671</v>
      </c>
      <c r="O1159" s="35">
        <v>77</v>
      </c>
      <c r="P1159" s="38">
        <f t="shared" si="2"/>
        <v>100</v>
      </c>
      <c r="Q1159" s="39" t="s">
        <v>117</v>
      </c>
      <c r="R1159" s="39" t="str">
        <f t="shared" si="3"/>
        <v>T</v>
      </c>
      <c r="S1159" s="34" t="s">
        <v>60</v>
      </c>
      <c r="T1159" s="34" t="str">
        <f>IF('PL1(Full)'!$N1159&gt;=20,"x",IF(AND('PL1(Full)'!$N1159&gt;=15,'PL1(Full)'!$P1159&gt;60),"x",""))</f>
        <v>x</v>
      </c>
      <c r="U1159" s="34" t="str">
        <f>IF(AND('PL1(Full)'!$H1159="Thôn",'PL1(Full)'!$I1159&lt;75),"x",IF(AND('PL1(Full)'!$H1159="Tổ",'PL1(Full)'!$I1159&lt;100),"x","-"))</f>
        <v>-</v>
      </c>
      <c r="V1159" s="34" t="str">
        <f>IF(AND('PL1(Full)'!$H1159="Thôn",'PL1(Full)'!$I1159&lt;140),"x",IF(AND('PL1(Full)'!$H1159="Tổ",'PL1(Full)'!$I1159&lt;210),"x","-"))</f>
        <v>x</v>
      </c>
      <c r="W1159" s="40" t="str">
        <f t="shared" si="175"/>
        <v>Loại 3</v>
      </c>
      <c r="X1159" s="34"/>
    </row>
    <row r="1160" spans="1:24" ht="15.75" hidden="1" customHeight="1">
      <c r="A1160" s="30">
        <f>_xlfn.AGGREGATE(4,7,A$6:A1159)+1</f>
        <v>876</v>
      </c>
      <c r="B1160" s="54" t="str">
        <f t="shared" si="191"/>
        <v>H. Pác Nặm</v>
      </c>
      <c r="C1160" s="54" t="str">
        <f t="shared" si="198"/>
        <v>X. Nghiên Loan</v>
      </c>
      <c r="D1160" s="32"/>
      <c r="E1160" s="32" t="s">
        <v>58</v>
      </c>
      <c r="F1160" s="66" t="s">
        <v>138</v>
      </c>
      <c r="G1160" s="32"/>
      <c r="H1160" s="32" t="str">
        <f>IF(LEFT('PL1(Full)'!$F1160,4)="Thôn","Thôn","Tổ")</f>
        <v>Thôn</v>
      </c>
      <c r="I1160" s="35">
        <v>83</v>
      </c>
      <c r="J1160" s="35">
        <v>349</v>
      </c>
      <c r="K1160" s="35">
        <v>83</v>
      </c>
      <c r="L1160" s="37">
        <f t="shared" si="0"/>
        <v>100</v>
      </c>
      <c r="M1160" s="35">
        <v>29</v>
      </c>
      <c r="N1160" s="38">
        <f t="shared" si="1"/>
        <v>34.939759036144579</v>
      </c>
      <c r="O1160" s="35">
        <v>29</v>
      </c>
      <c r="P1160" s="38">
        <f t="shared" si="2"/>
        <v>100</v>
      </c>
      <c r="Q1160" s="39" t="s">
        <v>117</v>
      </c>
      <c r="R1160" s="39" t="str">
        <f t="shared" si="3"/>
        <v>T</v>
      </c>
      <c r="S1160" s="34" t="s">
        <v>60</v>
      </c>
      <c r="T1160" s="34" t="str">
        <f>IF('PL1(Full)'!$N1160&gt;=20,"x",IF(AND('PL1(Full)'!$N1160&gt;=15,'PL1(Full)'!$P1160&gt;60),"x",""))</f>
        <v>x</v>
      </c>
      <c r="U1160" s="34" t="str">
        <f>IF(AND('PL1(Full)'!$H1160="Thôn",'PL1(Full)'!$I1160&lt;75),"x",IF(AND('PL1(Full)'!$H1160="Tổ",'PL1(Full)'!$I1160&lt;100),"x","-"))</f>
        <v>-</v>
      </c>
      <c r="V1160" s="34" t="str">
        <f>IF(AND('PL1(Full)'!$H1160="Thôn",'PL1(Full)'!$I1160&lt;140),"x",IF(AND('PL1(Full)'!$H1160="Tổ",'PL1(Full)'!$I1160&lt;210),"x","-"))</f>
        <v>x</v>
      </c>
      <c r="W1160" s="40" t="str">
        <f t="shared" si="175"/>
        <v>Loại 3</v>
      </c>
      <c r="X1160" s="34"/>
    </row>
    <row r="1161" spans="1:24" ht="15.75" hidden="1" customHeight="1">
      <c r="A1161" s="30">
        <f>_xlfn.AGGREGATE(4,7,A$6:A1160)+1</f>
        <v>876</v>
      </c>
      <c r="B1161" s="54" t="str">
        <f t="shared" si="191"/>
        <v>H. Pác Nặm</v>
      </c>
      <c r="C1161" s="54" t="str">
        <f t="shared" si="198"/>
        <v>X. Nghiên Loan</v>
      </c>
      <c r="D1161" s="32"/>
      <c r="E1161" s="32" t="s">
        <v>58</v>
      </c>
      <c r="F1161" s="66" t="s">
        <v>1217</v>
      </c>
      <c r="G1161" s="32"/>
      <c r="H1161" s="32" t="str">
        <f>IF(LEFT('PL1(Full)'!$F1161,4)="Thôn","Thôn","Tổ")</f>
        <v>Thôn</v>
      </c>
      <c r="I1161" s="35">
        <v>110</v>
      </c>
      <c r="J1161" s="35">
        <v>482</v>
      </c>
      <c r="K1161" s="35">
        <v>110</v>
      </c>
      <c r="L1161" s="37">
        <f t="shared" si="0"/>
        <v>100</v>
      </c>
      <c r="M1161" s="35">
        <v>62</v>
      </c>
      <c r="N1161" s="38">
        <f t="shared" si="1"/>
        <v>56.363636363636367</v>
      </c>
      <c r="O1161" s="35">
        <v>62</v>
      </c>
      <c r="P1161" s="38">
        <f t="shared" si="2"/>
        <v>100</v>
      </c>
      <c r="Q1161" s="39" t="s">
        <v>56</v>
      </c>
      <c r="R1161" s="39" t="str">
        <f t="shared" si="3"/>
        <v>X</v>
      </c>
      <c r="S1161" s="34" t="s">
        <v>60</v>
      </c>
      <c r="T1161" s="34" t="str">
        <f>IF('PL1(Full)'!$N1161&gt;=20,"x",IF(AND('PL1(Full)'!$N1161&gt;=15,'PL1(Full)'!$P1161&gt;60),"x",""))</f>
        <v>x</v>
      </c>
      <c r="U1161" s="34" t="str">
        <f>IF(AND('PL1(Full)'!$H1161="Thôn",'PL1(Full)'!$I1161&lt;75),"x",IF(AND('PL1(Full)'!$H1161="Tổ",'PL1(Full)'!$I1161&lt;100),"x","-"))</f>
        <v>-</v>
      </c>
      <c r="V1161" s="34" t="str">
        <f>IF(AND('PL1(Full)'!$H1161="Thôn",'PL1(Full)'!$I1161&lt;140),"x",IF(AND('PL1(Full)'!$H1161="Tổ",'PL1(Full)'!$I1161&lt;210),"x","-"))</f>
        <v>x</v>
      </c>
      <c r="W1161" s="40" t="str">
        <f t="shared" si="175"/>
        <v>Loại 2</v>
      </c>
      <c r="X1161" s="34"/>
    </row>
    <row r="1162" spans="1:24" ht="15.75" hidden="1" customHeight="1">
      <c r="A1162" s="30">
        <f>_xlfn.AGGREGATE(4,7,A$6:A1161)+1</f>
        <v>876</v>
      </c>
      <c r="B1162" s="54" t="str">
        <f t="shared" si="191"/>
        <v>H. Pác Nặm</v>
      </c>
      <c r="C1162" s="54" t="str">
        <f t="shared" si="198"/>
        <v>X. Nghiên Loan</v>
      </c>
      <c r="D1162" s="32"/>
      <c r="E1162" s="32" t="s">
        <v>58</v>
      </c>
      <c r="F1162" s="66" t="s">
        <v>1218</v>
      </c>
      <c r="G1162" s="32"/>
      <c r="H1162" s="32" t="str">
        <f>IF(LEFT('PL1(Full)'!$F1162,4)="Thôn","Thôn","Tổ")</f>
        <v>Thôn</v>
      </c>
      <c r="I1162" s="35">
        <v>110</v>
      </c>
      <c r="J1162" s="35">
        <v>449</v>
      </c>
      <c r="K1162" s="35">
        <v>110</v>
      </c>
      <c r="L1162" s="37">
        <f t="shared" si="0"/>
        <v>100</v>
      </c>
      <c r="M1162" s="35">
        <v>48</v>
      </c>
      <c r="N1162" s="38">
        <f t="shared" si="1"/>
        <v>43.636363636363633</v>
      </c>
      <c r="O1162" s="35">
        <v>48</v>
      </c>
      <c r="P1162" s="38">
        <f t="shared" si="2"/>
        <v>100</v>
      </c>
      <c r="Q1162" s="39" t="s">
        <v>56</v>
      </c>
      <c r="R1162" s="39" t="str">
        <f t="shared" si="3"/>
        <v>X</v>
      </c>
      <c r="S1162" s="34" t="s">
        <v>60</v>
      </c>
      <c r="T1162" s="34" t="str">
        <f>IF('PL1(Full)'!$N1162&gt;=20,"x",IF(AND('PL1(Full)'!$N1162&gt;=15,'PL1(Full)'!$P1162&gt;60),"x",""))</f>
        <v>x</v>
      </c>
      <c r="U1162" s="34" t="str">
        <f>IF(AND('PL1(Full)'!$H1162="Thôn",'PL1(Full)'!$I1162&lt;75),"x",IF(AND('PL1(Full)'!$H1162="Tổ",'PL1(Full)'!$I1162&lt;100),"x","-"))</f>
        <v>-</v>
      </c>
      <c r="V1162" s="34" t="str">
        <f>IF(AND('PL1(Full)'!$H1162="Thôn",'PL1(Full)'!$I1162&lt;140),"x",IF(AND('PL1(Full)'!$H1162="Tổ",'PL1(Full)'!$I1162&lt;210),"x","-"))</f>
        <v>x</v>
      </c>
      <c r="W1162" s="40" t="str">
        <f t="shared" si="175"/>
        <v>Loại 2</v>
      </c>
      <c r="X1162" s="34"/>
    </row>
    <row r="1163" spans="1:24" ht="15.75" hidden="1" customHeight="1">
      <c r="A1163" s="30">
        <f>_xlfn.AGGREGATE(4,7,A$6:A1162)+1</f>
        <v>876</v>
      </c>
      <c r="B1163" s="54" t="str">
        <f t="shared" si="191"/>
        <v>H. Pác Nặm</v>
      </c>
      <c r="C1163" s="54" t="str">
        <f t="shared" si="198"/>
        <v>X. Nghiên Loan</v>
      </c>
      <c r="D1163" s="32"/>
      <c r="E1163" s="32" t="s">
        <v>58</v>
      </c>
      <c r="F1163" s="66" t="s">
        <v>1219</v>
      </c>
      <c r="G1163" s="32"/>
      <c r="H1163" s="32" t="str">
        <f>IF(LEFT('PL1(Full)'!$F1163,4)="Thôn","Thôn","Tổ")</f>
        <v>Thôn</v>
      </c>
      <c r="I1163" s="35">
        <v>115</v>
      </c>
      <c r="J1163" s="35">
        <v>503</v>
      </c>
      <c r="K1163" s="35">
        <v>114</v>
      </c>
      <c r="L1163" s="37">
        <f t="shared" si="0"/>
        <v>99.130434782608702</v>
      </c>
      <c r="M1163" s="35">
        <v>37</v>
      </c>
      <c r="N1163" s="38">
        <f t="shared" si="1"/>
        <v>32.173913043478258</v>
      </c>
      <c r="O1163" s="35">
        <v>36</v>
      </c>
      <c r="P1163" s="38">
        <f t="shared" si="2"/>
        <v>97.297297297297291</v>
      </c>
      <c r="Q1163" s="39" t="s">
        <v>56</v>
      </c>
      <c r="R1163" s="39" t="str">
        <f t="shared" si="3"/>
        <v>X</v>
      </c>
      <c r="S1163" s="34" t="s">
        <v>60</v>
      </c>
      <c r="T1163" s="34" t="str">
        <f>IF('PL1(Full)'!$N1163&gt;=20,"x",IF(AND('PL1(Full)'!$N1163&gt;=15,'PL1(Full)'!$P1163&gt;60),"x",""))</f>
        <v>x</v>
      </c>
      <c r="U1163" s="34" t="str">
        <f>IF(AND('PL1(Full)'!$H1163="Thôn",'PL1(Full)'!$I1163&lt;75),"x",IF(AND('PL1(Full)'!$H1163="Tổ",'PL1(Full)'!$I1163&lt;100),"x","-"))</f>
        <v>-</v>
      </c>
      <c r="V1163" s="34" t="str">
        <f>IF(AND('PL1(Full)'!$H1163="Thôn",'PL1(Full)'!$I1163&lt;140),"x",IF(AND('PL1(Full)'!$H1163="Tổ",'PL1(Full)'!$I1163&lt;210),"x","-"))</f>
        <v>x</v>
      </c>
      <c r="W1163" s="40" t="str">
        <f t="shared" si="175"/>
        <v>Loại 2</v>
      </c>
      <c r="X1163" s="34"/>
    </row>
    <row r="1164" spans="1:24" ht="15.75" customHeight="1">
      <c r="A1164" s="41">
        <f>_xlfn.AGGREGATE(4,7,A$6:A1163)+1</f>
        <v>876</v>
      </c>
      <c r="B1164" s="55" t="str">
        <f t="shared" si="191"/>
        <v>H. Pác Nặm</v>
      </c>
      <c r="C1164" s="55" t="str">
        <f t="shared" si="198"/>
        <v>X. Nghiên Loan</v>
      </c>
      <c r="D1164" s="43"/>
      <c r="E1164" s="43" t="s">
        <v>58</v>
      </c>
      <c r="F1164" s="67" t="s">
        <v>1220</v>
      </c>
      <c r="G1164" s="43"/>
      <c r="H1164" s="43" t="str">
        <f>IF(LEFT('PL1(Full)'!$F1164,4)="Thôn","Thôn","Tổ")</f>
        <v>Thôn</v>
      </c>
      <c r="I1164" s="45">
        <v>73</v>
      </c>
      <c r="J1164" s="45">
        <v>352</v>
      </c>
      <c r="K1164" s="45">
        <v>73</v>
      </c>
      <c r="L1164" s="47">
        <f t="shared" si="0"/>
        <v>100</v>
      </c>
      <c r="M1164" s="45">
        <v>55</v>
      </c>
      <c r="N1164" s="48">
        <f t="shared" si="1"/>
        <v>75.342465753424662</v>
      </c>
      <c r="O1164" s="35">
        <v>50</v>
      </c>
      <c r="P1164" s="48">
        <f t="shared" si="2"/>
        <v>90.909090909090907</v>
      </c>
      <c r="Q1164" s="39" t="s">
        <v>117</v>
      </c>
      <c r="R1164" s="56" t="str">
        <f t="shared" si="3"/>
        <v>T</v>
      </c>
      <c r="S1164" s="50" t="s">
        <v>60</v>
      </c>
      <c r="T1164" s="50" t="str">
        <f>IF('PL1(Full)'!$N1164&gt;=20,"x",IF(AND('PL1(Full)'!$N1164&gt;=15,'PL1(Full)'!$P1164&gt;60),"x",""))</f>
        <v>x</v>
      </c>
      <c r="U1164" s="50" t="str">
        <f>IF(AND('PL1(Full)'!$H1164="Thôn",'PL1(Full)'!$I1164&lt;75),"x",IF(AND('PL1(Full)'!$H1164="Tổ",'PL1(Full)'!$I1164&lt;100),"x","-"))</f>
        <v>x</v>
      </c>
      <c r="V1164" s="34" t="str">
        <f>IF(AND('PL1(Full)'!$H1164="Thôn",'PL1(Full)'!$I1164&lt;140),"x",IF(AND('PL1(Full)'!$H1164="Tổ",'PL1(Full)'!$I1164&lt;210),"x","-"))</f>
        <v>x</v>
      </c>
      <c r="W1164" s="51" t="str">
        <f t="shared" si="175"/>
        <v>Loại 3</v>
      </c>
      <c r="X1164" s="50"/>
    </row>
    <row r="1165" spans="1:24" ht="15.75" hidden="1" customHeight="1">
      <c r="A1165" s="52">
        <f>_xlfn.AGGREGATE(4,7,A$6:A1164)+1</f>
        <v>877</v>
      </c>
      <c r="B1165" s="53" t="str">
        <f t="shared" si="191"/>
        <v>H. Pác Nặm</v>
      </c>
      <c r="C1165" s="14" t="s">
        <v>1221</v>
      </c>
      <c r="D1165" s="15" t="s">
        <v>58</v>
      </c>
      <c r="E1165" s="16" t="s">
        <v>58</v>
      </c>
      <c r="F1165" s="65" t="s">
        <v>1222</v>
      </c>
      <c r="G1165" s="18"/>
      <c r="H1165" s="18" t="str">
        <f>IF(LEFT('PL1(Full)'!$F1165,4)="Thôn","Thôn","Tổ")</f>
        <v>Thôn</v>
      </c>
      <c r="I1165" s="19">
        <v>78</v>
      </c>
      <c r="J1165" s="19">
        <v>344</v>
      </c>
      <c r="K1165" s="19">
        <v>78</v>
      </c>
      <c r="L1165" s="21">
        <f t="shared" si="0"/>
        <v>100</v>
      </c>
      <c r="M1165" s="19">
        <v>50</v>
      </c>
      <c r="N1165" s="22">
        <f t="shared" si="1"/>
        <v>64.102564102564102</v>
      </c>
      <c r="O1165" s="19">
        <v>50</v>
      </c>
      <c r="P1165" s="22">
        <f t="shared" si="2"/>
        <v>100</v>
      </c>
      <c r="Q1165" s="87" t="s">
        <v>56</v>
      </c>
      <c r="R1165" s="87" t="str">
        <f t="shared" si="3"/>
        <v>X</v>
      </c>
      <c r="S1165" s="18" t="s">
        <v>60</v>
      </c>
      <c r="T1165" s="26" t="str">
        <f>IF('PL1(Full)'!$N1165&gt;=20,"x",IF(AND('PL1(Full)'!$N1165&gt;=15,'PL1(Full)'!$P1165&gt;60),"x",""))</f>
        <v>x</v>
      </c>
      <c r="U1165" s="27" t="str">
        <f>IF(AND('PL1(Full)'!$H1165="Thôn",'PL1(Full)'!$I1165&lt;75),"x",IF(AND('PL1(Full)'!$H1165="Tổ",'PL1(Full)'!$I1165&lt;100),"x","-"))</f>
        <v>-</v>
      </c>
      <c r="V1165" s="28" t="str">
        <f>IF(AND('PL1(Full)'!$H1165="Thôn",'PL1(Full)'!$I1165&lt;140),"x",IF(AND('PL1(Full)'!$H1165="Tổ",'PL1(Full)'!$I1165&lt;210),"x","-"))</f>
        <v>x</v>
      </c>
      <c r="W1165" s="29" t="str">
        <f t="shared" si="175"/>
        <v>Loại 3</v>
      </c>
      <c r="X1165" s="148"/>
    </row>
    <row r="1166" spans="1:24" ht="15.75" hidden="1" customHeight="1">
      <c r="A1166" s="30">
        <f>_xlfn.AGGREGATE(4,7,A$6:A1165)+1</f>
        <v>877</v>
      </c>
      <c r="B1166" s="54" t="str">
        <f t="shared" si="191"/>
        <v>H. Pác Nặm</v>
      </c>
      <c r="C1166" s="31" t="str">
        <f t="shared" ref="C1166:C1172" si="199">C1165</f>
        <v>X. Nhạn Môn</v>
      </c>
      <c r="D1166" s="32"/>
      <c r="E1166" s="32" t="s">
        <v>58</v>
      </c>
      <c r="F1166" s="66" t="s">
        <v>1223</v>
      </c>
      <c r="G1166" s="32"/>
      <c r="H1166" s="32" t="str">
        <f>IF(LEFT('PL1(Full)'!$F1166,4)="Thôn","Thôn","Tổ")</f>
        <v>Thôn</v>
      </c>
      <c r="I1166" s="35">
        <v>88</v>
      </c>
      <c r="J1166" s="35">
        <v>386</v>
      </c>
      <c r="K1166" s="35">
        <v>88</v>
      </c>
      <c r="L1166" s="37">
        <f t="shared" si="0"/>
        <v>100</v>
      </c>
      <c r="M1166" s="35">
        <v>26</v>
      </c>
      <c r="N1166" s="38">
        <f t="shared" si="1"/>
        <v>29.545454545454547</v>
      </c>
      <c r="O1166" s="35">
        <v>26</v>
      </c>
      <c r="P1166" s="38">
        <f t="shared" si="2"/>
        <v>100</v>
      </c>
      <c r="Q1166" s="88" t="s">
        <v>56</v>
      </c>
      <c r="R1166" s="88" t="str">
        <f t="shared" si="3"/>
        <v>X</v>
      </c>
      <c r="S1166" s="32" t="s">
        <v>60</v>
      </c>
      <c r="T1166" s="34" t="str">
        <f>IF('PL1(Full)'!$N1166&gt;=20,"x",IF(AND('PL1(Full)'!$N1166&gt;=15,'PL1(Full)'!$P1166&gt;60),"x",""))</f>
        <v>x</v>
      </c>
      <c r="U1166" s="34" t="str">
        <f>IF(AND('PL1(Full)'!$H1166="Thôn",'PL1(Full)'!$I1166&lt;75),"x",IF(AND('PL1(Full)'!$H1166="Tổ",'PL1(Full)'!$I1166&lt;100),"x","-"))</f>
        <v>-</v>
      </c>
      <c r="V1166" s="34" t="str">
        <f>IF(AND('PL1(Full)'!$H1166="Thôn",'PL1(Full)'!$I1166&lt;140),"x",IF(AND('PL1(Full)'!$H1166="Tổ",'PL1(Full)'!$I1166&lt;210),"x","-"))</f>
        <v>x</v>
      </c>
      <c r="W1166" s="40" t="str">
        <f t="shared" si="175"/>
        <v>Loại 3</v>
      </c>
      <c r="X1166" s="57"/>
    </row>
    <row r="1167" spans="1:24" ht="15.75" customHeight="1">
      <c r="A1167" s="30">
        <f>_xlfn.AGGREGATE(4,7,A$6:A1166)+1</f>
        <v>877</v>
      </c>
      <c r="B1167" s="54" t="str">
        <f t="shared" si="191"/>
        <v>H. Pác Nặm</v>
      </c>
      <c r="C1167" s="31" t="str">
        <f t="shared" si="199"/>
        <v>X. Nhạn Môn</v>
      </c>
      <c r="D1167" s="32"/>
      <c r="E1167" s="32" t="s">
        <v>58</v>
      </c>
      <c r="F1167" s="66" t="s">
        <v>1224</v>
      </c>
      <c r="G1167" s="32"/>
      <c r="H1167" s="32" t="str">
        <f>IF(LEFT('PL1(Full)'!$F1167,4)="Thôn","Thôn","Tổ")</f>
        <v>Thôn</v>
      </c>
      <c r="I1167" s="35">
        <v>48</v>
      </c>
      <c r="J1167" s="35">
        <v>235</v>
      </c>
      <c r="K1167" s="35">
        <v>48</v>
      </c>
      <c r="L1167" s="37">
        <f t="shared" si="0"/>
        <v>100</v>
      </c>
      <c r="M1167" s="35">
        <v>44</v>
      </c>
      <c r="N1167" s="38">
        <f t="shared" si="1"/>
        <v>91.666666666666671</v>
      </c>
      <c r="O1167" s="35">
        <v>44</v>
      </c>
      <c r="P1167" s="38">
        <f t="shared" si="2"/>
        <v>100</v>
      </c>
      <c r="Q1167" s="88" t="s">
        <v>56</v>
      </c>
      <c r="R1167" s="88" t="str">
        <f t="shared" si="3"/>
        <v>X</v>
      </c>
      <c r="S1167" s="32" t="s">
        <v>60</v>
      </c>
      <c r="T1167" s="34" t="str">
        <f>IF('PL1(Full)'!$N1167&gt;=20,"x",IF(AND('PL1(Full)'!$N1167&gt;=15,'PL1(Full)'!$P1167&gt;60),"x",""))</f>
        <v>x</v>
      </c>
      <c r="U1167" s="34" t="str">
        <f>IF(AND('PL1(Full)'!$H1167="Thôn",'PL1(Full)'!$I1167&lt;75),"x",IF(AND('PL1(Full)'!$H1167="Tổ",'PL1(Full)'!$I1167&lt;100),"x","-"))</f>
        <v>x</v>
      </c>
      <c r="V1167" s="34" t="str">
        <f>IF(AND('PL1(Full)'!$H1167="Thôn",'PL1(Full)'!$I1167&lt;140),"x",IF(AND('PL1(Full)'!$H1167="Tổ",'PL1(Full)'!$I1167&lt;210),"x","-"))</f>
        <v>x</v>
      </c>
      <c r="W1167" s="40" t="str">
        <f t="shared" si="175"/>
        <v>Loại 3</v>
      </c>
      <c r="X1167" s="57"/>
    </row>
    <row r="1168" spans="1:24" ht="15.75" customHeight="1">
      <c r="A1168" s="30">
        <f>_xlfn.AGGREGATE(4,7,A$6:A1167)+1</f>
        <v>878</v>
      </c>
      <c r="B1168" s="54" t="str">
        <f t="shared" si="191"/>
        <v>H. Pác Nặm</v>
      </c>
      <c r="C1168" s="31" t="str">
        <f t="shared" si="199"/>
        <v>X. Nhạn Môn</v>
      </c>
      <c r="D1168" s="32"/>
      <c r="E1168" s="32" t="s">
        <v>58</v>
      </c>
      <c r="F1168" s="66" t="s">
        <v>1225</v>
      </c>
      <c r="G1168" s="32"/>
      <c r="H1168" s="32" t="str">
        <f>IF(LEFT('PL1(Full)'!$F1168,4)="Thôn","Thôn","Tổ")</f>
        <v>Thôn</v>
      </c>
      <c r="I1168" s="35">
        <v>46</v>
      </c>
      <c r="J1168" s="35">
        <v>225</v>
      </c>
      <c r="K1168" s="35">
        <v>46</v>
      </c>
      <c r="L1168" s="37">
        <f t="shared" si="0"/>
        <v>100</v>
      </c>
      <c r="M1168" s="35">
        <v>40</v>
      </c>
      <c r="N1168" s="38">
        <f t="shared" si="1"/>
        <v>86.956521739130437</v>
      </c>
      <c r="O1168" s="35">
        <v>40</v>
      </c>
      <c r="P1168" s="38">
        <f t="shared" si="2"/>
        <v>100</v>
      </c>
      <c r="Q1168" s="88" t="s">
        <v>56</v>
      </c>
      <c r="R1168" s="88" t="str">
        <f t="shared" si="3"/>
        <v>X</v>
      </c>
      <c r="S1168" s="32" t="s">
        <v>60</v>
      </c>
      <c r="T1168" s="34" t="str">
        <f>IF('PL1(Full)'!$N1168&gt;=20,"x",IF(AND('PL1(Full)'!$N1168&gt;=15,'PL1(Full)'!$P1168&gt;60),"x",""))</f>
        <v>x</v>
      </c>
      <c r="U1168" s="34" t="str">
        <f>IF(AND('PL1(Full)'!$H1168="Thôn",'PL1(Full)'!$I1168&lt;75),"x",IF(AND('PL1(Full)'!$H1168="Tổ",'PL1(Full)'!$I1168&lt;100),"x","-"))</f>
        <v>x</v>
      </c>
      <c r="V1168" s="34" t="str">
        <f>IF(AND('PL1(Full)'!$H1168="Thôn",'PL1(Full)'!$I1168&lt;140),"x",IF(AND('PL1(Full)'!$H1168="Tổ",'PL1(Full)'!$I1168&lt;210),"x","-"))</f>
        <v>x</v>
      </c>
      <c r="W1168" s="40" t="str">
        <f t="shared" si="175"/>
        <v>Loại 3</v>
      </c>
      <c r="X1168" s="57"/>
    </row>
    <row r="1169" spans="1:24" ht="15.75" hidden="1" customHeight="1">
      <c r="A1169" s="30">
        <f>_xlfn.AGGREGATE(4,7,A$6:A1168)+1</f>
        <v>879</v>
      </c>
      <c r="B1169" s="54" t="str">
        <f t="shared" si="191"/>
        <v>H. Pác Nặm</v>
      </c>
      <c r="C1169" s="31" t="str">
        <f t="shared" si="199"/>
        <v>X. Nhạn Môn</v>
      </c>
      <c r="D1169" s="32"/>
      <c r="E1169" s="32" t="s">
        <v>58</v>
      </c>
      <c r="F1169" s="66" t="s">
        <v>1226</v>
      </c>
      <c r="G1169" s="32"/>
      <c r="H1169" s="32" t="str">
        <f>IF(LEFT('PL1(Full)'!$F1169,4)="Thôn","Thôn","Tổ")</f>
        <v>Thôn</v>
      </c>
      <c r="I1169" s="35">
        <v>85</v>
      </c>
      <c r="J1169" s="35">
        <v>350</v>
      </c>
      <c r="K1169" s="35">
        <v>85</v>
      </c>
      <c r="L1169" s="37">
        <f t="shared" si="0"/>
        <v>100</v>
      </c>
      <c r="M1169" s="35">
        <v>15</v>
      </c>
      <c r="N1169" s="38">
        <f t="shared" si="1"/>
        <v>17.647058823529413</v>
      </c>
      <c r="O1169" s="35">
        <v>15</v>
      </c>
      <c r="P1169" s="38">
        <f t="shared" si="2"/>
        <v>100</v>
      </c>
      <c r="Q1169" s="88" t="s">
        <v>56</v>
      </c>
      <c r="R1169" s="88" t="str">
        <f t="shared" si="3"/>
        <v>X</v>
      </c>
      <c r="S1169" s="32"/>
      <c r="T1169" s="34" t="str">
        <f>IF('PL1(Full)'!$N1169&gt;=20,"x",IF(AND('PL1(Full)'!$N1169&gt;=15,'PL1(Full)'!$P1169&gt;60),"x",""))</f>
        <v>x</v>
      </c>
      <c r="U1169" s="34" t="str">
        <f>IF(AND('PL1(Full)'!$H1169="Thôn",'PL1(Full)'!$I1169&lt;75),"x",IF(AND('PL1(Full)'!$H1169="Tổ",'PL1(Full)'!$I1169&lt;100),"x","-"))</f>
        <v>-</v>
      </c>
      <c r="V1169" s="34" t="str">
        <f>IF(AND('PL1(Full)'!$H1169="Thôn",'PL1(Full)'!$I1169&lt;140),"x",IF(AND('PL1(Full)'!$H1169="Tổ",'PL1(Full)'!$I1169&lt;210),"x","-"))</f>
        <v>x</v>
      </c>
      <c r="W1169" s="40" t="str">
        <f t="shared" si="175"/>
        <v>Loại 3</v>
      </c>
      <c r="X1169" s="57"/>
    </row>
    <row r="1170" spans="1:24" ht="15.75" customHeight="1">
      <c r="A1170" s="30">
        <f>_xlfn.AGGREGATE(4,7,A$6:A1169)+1</f>
        <v>879</v>
      </c>
      <c r="B1170" s="54" t="str">
        <f t="shared" si="191"/>
        <v>H. Pác Nặm</v>
      </c>
      <c r="C1170" s="31" t="str">
        <f t="shared" si="199"/>
        <v>X. Nhạn Môn</v>
      </c>
      <c r="D1170" s="32"/>
      <c r="E1170" s="32" t="s">
        <v>58</v>
      </c>
      <c r="F1170" s="66" t="s">
        <v>1227</v>
      </c>
      <c r="G1170" s="32"/>
      <c r="H1170" s="32" t="str">
        <f>IF(LEFT('PL1(Full)'!$F1170,4)="Thôn","Thôn","Tổ")</f>
        <v>Thôn</v>
      </c>
      <c r="I1170" s="35">
        <v>38</v>
      </c>
      <c r="J1170" s="35">
        <v>177</v>
      </c>
      <c r="K1170" s="35">
        <v>38</v>
      </c>
      <c r="L1170" s="37">
        <f t="shared" si="0"/>
        <v>100</v>
      </c>
      <c r="M1170" s="35">
        <v>14</v>
      </c>
      <c r="N1170" s="38">
        <f t="shared" si="1"/>
        <v>36.842105263157897</v>
      </c>
      <c r="O1170" s="35">
        <v>14</v>
      </c>
      <c r="P1170" s="38">
        <f t="shared" si="2"/>
        <v>100</v>
      </c>
      <c r="Q1170" s="88" t="s">
        <v>56</v>
      </c>
      <c r="R1170" s="88" t="str">
        <f t="shared" si="3"/>
        <v>X</v>
      </c>
      <c r="S1170" s="32" t="s">
        <v>60</v>
      </c>
      <c r="T1170" s="34" t="str">
        <f>IF('PL1(Full)'!$N1170&gt;=20,"x",IF(AND('PL1(Full)'!$N1170&gt;=15,'PL1(Full)'!$P1170&gt;60),"x",""))</f>
        <v>x</v>
      </c>
      <c r="U1170" s="34" t="str">
        <f>IF(AND('PL1(Full)'!$H1170="Thôn",'PL1(Full)'!$I1170&lt;75),"x",IF(AND('PL1(Full)'!$H1170="Tổ",'PL1(Full)'!$I1170&lt;100),"x","-"))</f>
        <v>x</v>
      </c>
      <c r="V1170" s="34" t="str">
        <f>IF(AND('PL1(Full)'!$H1170="Thôn",'PL1(Full)'!$I1170&lt;140),"x",IF(AND('PL1(Full)'!$H1170="Tổ",'PL1(Full)'!$I1170&lt;210),"x","-"))</f>
        <v>x</v>
      </c>
      <c r="W1170" s="40" t="str">
        <f t="shared" si="175"/>
        <v>Loại 3</v>
      </c>
      <c r="X1170" s="57"/>
    </row>
    <row r="1171" spans="1:24" ht="15.75" customHeight="1">
      <c r="A1171" s="30">
        <f>_xlfn.AGGREGATE(4,7,A$6:A1170)+1</f>
        <v>880</v>
      </c>
      <c r="B1171" s="54" t="str">
        <f t="shared" si="191"/>
        <v>H. Pác Nặm</v>
      </c>
      <c r="C1171" s="31" t="str">
        <f t="shared" si="199"/>
        <v>X. Nhạn Môn</v>
      </c>
      <c r="D1171" s="32"/>
      <c r="E1171" s="32" t="s">
        <v>58</v>
      </c>
      <c r="F1171" s="66" t="s">
        <v>1228</v>
      </c>
      <c r="G1171" s="32"/>
      <c r="H1171" s="32" t="str">
        <f>IF(LEFT('PL1(Full)'!$F1171,4)="Thôn","Thôn","Tổ")</f>
        <v>Thôn</v>
      </c>
      <c r="I1171" s="35">
        <v>46</v>
      </c>
      <c r="J1171" s="35">
        <v>240</v>
      </c>
      <c r="K1171" s="35">
        <v>46</v>
      </c>
      <c r="L1171" s="37">
        <f t="shared" si="0"/>
        <v>100</v>
      </c>
      <c r="M1171" s="35">
        <v>43</v>
      </c>
      <c r="N1171" s="38">
        <f t="shared" si="1"/>
        <v>93.478260869565219</v>
      </c>
      <c r="O1171" s="35">
        <v>43</v>
      </c>
      <c r="P1171" s="38">
        <f t="shared" si="2"/>
        <v>100</v>
      </c>
      <c r="Q1171" s="88" t="s">
        <v>56</v>
      </c>
      <c r="R1171" s="88" t="str">
        <f t="shared" si="3"/>
        <v>X</v>
      </c>
      <c r="S1171" s="32" t="s">
        <v>60</v>
      </c>
      <c r="T1171" s="34" t="str">
        <f>IF('PL1(Full)'!$N1171&gt;=20,"x",IF(AND('PL1(Full)'!$N1171&gt;=15,'PL1(Full)'!$P1171&gt;60),"x",""))</f>
        <v>x</v>
      </c>
      <c r="U1171" s="34" t="str">
        <f>IF(AND('PL1(Full)'!$H1171="Thôn",'PL1(Full)'!$I1171&lt;75),"x",IF(AND('PL1(Full)'!$H1171="Tổ",'PL1(Full)'!$I1171&lt;100),"x","-"))</f>
        <v>x</v>
      </c>
      <c r="V1171" s="34" t="str">
        <f>IF(AND('PL1(Full)'!$H1171="Thôn",'PL1(Full)'!$I1171&lt;140),"x",IF(AND('PL1(Full)'!$H1171="Tổ",'PL1(Full)'!$I1171&lt;210),"x","-"))</f>
        <v>x</v>
      </c>
      <c r="W1171" s="40" t="str">
        <f t="shared" si="175"/>
        <v>Loại 3</v>
      </c>
      <c r="X1171" s="57"/>
    </row>
    <row r="1172" spans="1:24" ht="15.75" customHeight="1">
      <c r="A1172" s="41">
        <f>_xlfn.AGGREGATE(4,7,A$6:A1171)+1</f>
        <v>881</v>
      </c>
      <c r="B1172" s="55" t="str">
        <f t="shared" si="191"/>
        <v>H. Pác Nặm</v>
      </c>
      <c r="C1172" s="42" t="str">
        <f t="shared" si="199"/>
        <v>X. Nhạn Môn</v>
      </c>
      <c r="D1172" s="43"/>
      <c r="E1172" s="43" t="s">
        <v>58</v>
      </c>
      <c r="F1172" s="67" t="s">
        <v>1229</v>
      </c>
      <c r="G1172" s="43"/>
      <c r="H1172" s="43" t="str">
        <f>IF(LEFT('PL1(Full)'!$F1172,4)="Thôn","Thôn","Tổ")</f>
        <v>Thôn</v>
      </c>
      <c r="I1172" s="45">
        <v>58</v>
      </c>
      <c r="J1172" s="45">
        <v>285</v>
      </c>
      <c r="K1172" s="45">
        <v>58</v>
      </c>
      <c r="L1172" s="47">
        <f t="shared" si="0"/>
        <v>100</v>
      </c>
      <c r="M1172" s="45">
        <v>19</v>
      </c>
      <c r="N1172" s="48">
        <f t="shared" si="1"/>
        <v>32.758620689655174</v>
      </c>
      <c r="O1172" s="45">
        <v>19</v>
      </c>
      <c r="P1172" s="48">
        <f t="shared" si="2"/>
        <v>100</v>
      </c>
      <c r="Q1172" s="88" t="s">
        <v>56</v>
      </c>
      <c r="R1172" s="100" t="str">
        <f t="shared" si="3"/>
        <v>X</v>
      </c>
      <c r="S1172" s="43" t="s">
        <v>60</v>
      </c>
      <c r="T1172" s="50" t="str">
        <f>IF('PL1(Full)'!$N1172&gt;=20,"x",IF(AND('PL1(Full)'!$N1172&gt;=15,'PL1(Full)'!$P1172&gt;60),"x",""))</f>
        <v>x</v>
      </c>
      <c r="U1172" s="50" t="str">
        <f>IF(AND('PL1(Full)'!$H1172="Thôn",'PL1(Full)'!$I1172&lt;75),"x",IF(AND('PL1(Full)'!$H1172="Tổ",'PL1(Full)'!$I1172&lt;100),"x","-"))</f>
        <v>x</v>
      </c>
      <c r="V1172" s="34" t="str">
        <f>IF(AND('PL1(Full)'!$H1172="Thôn",'PL1(Full)'!$I1172&lt;140),"x",IF(AND('PL1(Full)'!$H1172="Tổ",'PL1(Full)'!$I1172&lt;210),"x","-"))</f>
        <v>x</v>
      </c>
      <c r="W1172" s="51" t="str">
        <f t="shared" si="175"/>
        <v>Loại 3</v>
      </c>
      <c r="X1172" s="58"/>
    </row>
    <row r="1173" spans="1:24" ht="15.75" customHeight="1">
      <c r="A1173" s="52">
        <f>_xlfn.AGGREGATE(4,7,A$6:A1172)+1</f>
        <v>882</v>
      </c>
      <c r="B1173" s="53" t="str">
        <f t="shared" si="191"/>
        <v>H. Pác Nặm</v>
      </c>
      <c r="C1173" s="14" t="s">
        <v>1230</v>
      </c>
      <c r="D1173" s="25" t="s">
        <v>58</v>
      </c>
      <c r="E1173" s="25" t="s">
        <v>58</v>
      </c>
      <c r="F1173" s="53" t="s">
        <v>1231</v>
      </c>
      <c r="G1173" s="25"/>
      <c r="H1173" s="25" t="str">
        <f>IF(LEFT('PL1(Full)'!$F1173,4)="Thôn","Thôn","Tổ")</f>
        <v>Thôn</v>
      </c>
      <c r="I1173" s="20">
        <v>46</v>
      </c>
      <c r="J1173" s="20">
        <v>213</v>
      </c>
      <c r="K1173" s="20">
        <v>46</v>
      </c>
      <c r="L1173" s="21">
        <f t="shared" si="0"/>
        <v>100</v>
      </c>
      <c r="M1173" s="20">
        <v>18</v>
      </c>
      <c r="N1173" s="22">
        <f t="shared" si="1"/>
        <v>39.130434782608695</v>
      </c>
      <c r="O1173" s="20">
        <v>18</v>
      </c>
      <c r="P1173" s="22">
        <f t="shared" si="2"/>
        <v>100</v>
      </c>
      <c r="Q1173" s="23" t="s">
        <v>56</v>
      </c>
      <c r="R1173" s="24" t="str">
        <f t="shared" si="3"/>
        <v>X</v>
      </c>
      <c r="S1173" s="25"/>
      <c r="T1173" s="26" t="str">
        <f>IF('PL1(Full)'!$N1173&gt;=20,"x",IF(AND('PL1(Full)'!$N1173&gt;=15,'PL1(Full)'!$P1173&gt;60),"x",""))</f>
        <v>x</v>
      </c>
      <c r="U1173" s="27" t="str">
        <f>IF(AND('PL1(Full)'!$H1173="Thôn",'PL1(Full)'!$I1173&lt;75),"x",IF(AND('PL1(Full)'!$H1173="Tổ",'PL1(Full)'!$I1173&lt;100),"x","-"))</f>
        <v>x</v>
      </c>
      <c r="V1173" s="28" t="str">
        <f>IF(AND('PL1(Full)'!$H1173="Thôn",'PL1(Full)'!$I1173&lt;140),"x",IF(AND('PL1(Full)'!$H1173="Tổ",'PL1(Full)'!$I1173&lt;210),"x","-"))</f>
        <v>x</v>
      </c>
      <c r="W1173" s="29" t="str">
        <f t="shared" si="175"/>
        <v>Loại 3</v>
      </c>
      <c r="X1173" s="25"/>
    </row>
    <row r="1174" spans="1:24" ht="15.75" hidden="1" customHeight="1">
      <c r="A1174" s="30">
        <f>_xlfn.AGGREGATE(4,7,A$6:A1173)+1</f>
        <v>883</v>
      </c>
      <c r="B1174" s="54" t="str">
        <f t="shared" si="191"/>
        <v>H. Pác Nặm</v>
      </c>
      <c r="C1174" s="54" t="str">
        <f t="shared" ref="C1174:C1181" si="200">C1173</f>
        <v>X. Xuân La</v>
      </c>
      <c r="D1174" s="34"/>
      <c r="E1174" s="34" t="s">
        <v>58</v>
      </c>
      <c r="F1174" s="54" t="s">
        <v>1232</v>
      </c>
      <c r="G1174" s="34"/>
      <c r="H1174" s="34" t="str">
        <f>IF(LEFT('PL1(Full)'!$F1174,4)="Thôn","Thôn","Tổ")</f>
        <v>Thôn</v>
      </c>
      <c r="I1174" s="36">
        <v>90</v>
      </c>
      <c r="J1174" s="36">
        <v>440</v>
      </c>
      <c r="K1174" s="36">
        <v>90</v>
      </c>
      <c r="L1174" s="37">
        <f t="shared" si="0"/>
        <v>100</v>
      </c>
      <c r="M1174" s="36">
        <v>25</v>
      </c>
      <c r="N1174" s="38">
        <f t="shared" si="1"/>
        <v>27.777777777777779</v>
      </c>
      <c r="O1174" s="36">
        <v>25</v>
      </c>
      <c r="P1174" s="38">
        <f t="shared" si="2"/>
        <v>100</v>
      </c>
      <c r="Q1174" s="39" t="s">
        <v>1233</v>
      </c>
      <c r="R1174" s="39" t="str">
        <f t="shared" si="3"/>
        <v>C</v>
      </c>
      <c r="S1174" s="34"/>
      <c r="T1174" s="34" t="str">
        <f>IF('PL1(Full)'!$N1174&gt;=20,"x",IF(AND('PL1(Full)'!$N1174&gt;=15,'PL1(Full)'!$P1174&gt;60),"x",""))</f>
        <v>x</v>
      </c>
      <c r="U1174" s="34" t="str">
        <f>IF(AND('PL1(Full)'!$H1174="Thôn",'PL1(Full)'!$I1174&lt;75),"x",IF(AND('PL1(Full)'!$H1174="Tổ",'PL1(Full)'!$I1174&lt;100),"x","-"))</f>
        <v>-</v>
      </c>
      <c r="V1174" s="34" t="str">
        <f>IF(AND('PL1(Full)'!$H1174="Thôn",'PL1(Full)'!$I1174&lt;140),"x",IF(AND('PL1(Full)'!$H1174="Tổ",'PL1(Full)'!$I1174&lt;210),"x","-"))</f>
        <v>x</v>
      </c>
      <c r="W1174" s="40" t="str">
        <f t="shared" si="175"/>
        <v>Loại 3</v>
      </c>
      <c r="X1174" s="34"/>
    </row>
    <row r="1175" spans="1:24" ht="15.75" customHeight="1">
      <c r="A1175" s="30">
        <f>_xlfn.AGGREGATE(4,7,A$6:A1174)+1</f>
        <v>883</v>
      </c>
      <c r="B1175" s="54" t="str">
        <f t="shared" si="191"/>
        <v>H. Pác Nặm</v>
      </c>
      <c r="C1175" s="54" t="str">
        <f t="shared" si="200"/>
        <v>X. Xuân La</v>
      </c>
      <c r="D1175" s="34"/>
      <c r="E1175" s="34" t="s">
        <v>58</v>
      </c>
      <c r="F1175" s="54" t="s">
        <v>329</v>
      </c>
      <c r="G1175" s="34"/>
      <c r="H1175" s="34" t="str">
        <f>IF(LEFT('PL1(Full)'!$F1175,4)="Thôn","Thôn","Tổ")</f>
        <v>Thôn</v>
      </c>
      <c r="I1175" s="36">
        <v>68</v>
      </c>
      <c r="J1175" s="36">
        <v>362</v>
      </c>
      <c r="K1175" s="36">
        <v>68</v>
      </c>
      <c r="L1175" s="37">
        <f t="shared" si="0"/>
        <v>100</v>
      </c>
      <c r="M1175" s="36">
        <v>65</v>
      </c>
      <c r="N1175" s="38">
        <f t="shared" si="1"/>
        <v>95.588235294117652</v>
      </c>
      <c r="O1175" s="36">
        <v>65</v>
      </c>
      <c r="P1175" s="38">
        <f t="shared" si="2"/>
        <v>100</v>
      </c>
      <c r="Q1175" s="39" t="s">
        <v>49</v>
      </c>
      <c r="R1175" s="39" t="str">
        <f t="shared" si="3"/>
        <v>X</v>
      </c>
      <c r="S1175" s="34" t="s">
        <v>60</v>
      </c>
      <c r="T1175" s="34" t="str">
        <f>IF('PL1(Full)'!$N1175&gt;=20,"x",IF(AND('PL1(Full)'!$N1175&gt;=15,'PL1(Full)'!$P1175&gt;60),"x",""))</f>
        <v>x</v>
      </c>
      <c r="U1175" s="34" t="str">
        <f>IF(AND('PL1(Full)'!$H1175="Thôn",'PL1(Full)'!$I1175&lt;75),"x",IF(AND('PL1(Full)'!$H1175="Tổ",'PL1(Full)'!$I1175&lt;100),"x","-"))</f>
        <v>x</v>
      </c>
      <c r="V1175" s="34" t="str">
        <f>IF(AND('PL1(Full)'!$H1175="Thôn",'PL1(Full)'!$I1175&lt;140),"x",IF(AND('PL1(Full)'!$H1175="Tổ",'PL1(Full)'!$I1175&lt;210),"x","-"))</f>
        <v>x</v>
      </c>
      <c r="W1175" s="40" t="str">
        <f t="shared" si="175"/>
        <v>Loại 3</v>
      </c>
      <c r="X1175" s="34"/>
    </row>
    <row r="1176" spans="1:24" ht="15.75" customHeight="1">
      <c r="A1176" s="30">
        <f>_xlfn.AGGREGATE(4,7,A$6:A1175)+1</f>
        <v>884</v>
      </c>
      <c r="B1176" s="54" t="str">
        <f t="shared" si="191"/>
        <v>H. Pác Nặm</v>
      </c>
      <c r="C1176" s="54" t="str">
        <f t="shared" si="200"/>
        <v>X. Xuân La</v>
      </c>
      <c r="D1176" s="34"/>
      <c r="E1176" s="34" t="s">
        <v>58</v>
      </c>
      <c r="F1176" s="54" t="s">
        <v>1234</v>
      </c>
      <c r="G1176" s="34"/>
      <c r="H1176" s="34" t="str">
        <f>IF(LEFT('PL1(Full)'!$F1176,4)="Thôn","Thôn","Tổ")</f>
        <v>Thôn</v>
      </c>
      <c r="I1176" s="36">
        <v>59</v>
      </c>
      <c r="J1176" s="36">
        <v>282</v>
      </c>
      <c r="K1176" s="36">
        <v>59</v>
      </c>
      <c r="L1176" s="37">
        <f t="shared" si="0"/>
        <v>100</v>
      </c>
      <c r="M1176" s="36">
        <v>24</v>
      </c>
      <c r="N1176" s="38">
        <f t="shared" si="1"/>
        <v>40.677966101694913</v>
      </c>
      <c r="O1176" s="36">
        <v>24</v>
      </c>
      <c r="P1176" s="38">
        <f t="shared" si="2"/>
        <v>100</v>
      </c>
      <c r="Q1176" s="39" t="s">
        <v>56</v>
      </c>
      <c r="R1176" s="39" t="str">
        <f t="shared" si="3"/>
        <v>X</v>
      </c>
      <c r="S1176" s="34" t="s">
        <v>60</v>
      </c>
      <c r="T1176" s="34" t="str">
        <f>IF('PL1(Full)'!$N1176&gt;=20,"x",IF(AND('PL1(Full)'!$N1176&gt;=15,'PL1(Full)'!$P1176&gt;60),"x",""))</f>
        <v>x</v>
      </c>
      <c r="U1176" s="34" t="str">
        <f>IF(AND('PL1(Full)'!$H1176="Thôn",'PL1(Full)'!$I1176&lt;75),"x",IF(AND('PL1(Full)'!$H1176="Tổ",'PL1(Full)'!$I1176&lt;100),"x","-"))</f>
        <v>x</v>
      </c>
      <c r="V1176" s="34" t="str">
        <f>IF(AND('PL1(Full)'!$H1176="Thôn",'PL1(Full)'!$I1176&lt;140),"x",IF(AND('PL1(Full)'!$H1176="Tổ",'PL1(Full)'!$I1176&lt;210),"x","-"))</f>
        <v>x</v>
      </c>
      <c r="W1176" s="40" t="str">
        <f t="shared" si="175"/>
        <v>Loại 3</v>
      </c>
      <c r="X1176" s="34"/>
    </row>
    <row r="1177" spans="1:24" ht="15.75" customHeight="1">
      <c r="A1177" s="30">
        <f>_xlfn.AGGREGATE(4,7,A$6:A1176)+1</f>
        <v>885</v>
      </c>
      <c r="B1177" s="54" t="str">
        <f t="shared" si="191"/>
        <v>H. Pác Nặm</v>
      </c>
      <c r="C1177" s="54" t="str">
        <f t="shared" si="200"/>
        <v>X. Xuân La</v>
      </c>
      <c r="D1177" s="34"/>
      <c r="E1177" s="34" t="s">
        <v>58</v>
      </c>
      <c r="F1177" s="54" t="s">
        <v>1235</v>
      </c>
      <c r="G1177" s="34"/>
      <c r="H1177" s="34" t="str">
        <f>IF(LEFT('PL1(Full)'!$F1177,4)="Thôn","Thôn","Tổ")</f>
        <v>Thôn</v>
      </c>
      <c r="I1177" s="36">
        <v>68</v>
      </c>
      <c r="J1177" s="36">
        <v>336</v>
      </c>
      <c r="K1177" s="36">
        <v>68</v>
      </c>
      <c r="L1177" s="37">
        <f t="shared" si="0"/>
        <v>100</v>
      </c>
      <c r="M1177" s="36">
        <v>57</v>
      </c>
      <c r="N1177" s="38">
        <f t="shared" si="1"/>
        <v>83.82352941176471</v>
      </c>
      <c r="O1177" s="36">
        <v>57</v>
      </c>
      <c r="P1177" s="38">
        <f t="shared" si="2"/>
        <v>100</v>
      </c>
      <c r="Q1177" s="39" t="s">
        <v>1075</v>
      </c>
      <c r="R1177" s="39" t="str">
        <f t="shared" si="3"/>
        <v>T</v>
      </c>
      <c r="S1177" s="34" t="s">
        <v>60</v>
      </c>
      <c r="T1177" s="34" t="str">
        <f>IF('PL1(Full)'!$N1177&gt;=20,"x",IF(AND('PL1(Full)'!$N1177&gt;=15,'PL1(Full)'!$P1177&gt;60),"x",""))</f>
        <v>x</v>
      </c>
      <c r="U1177" s="34" t="str">
        <f>IF(AND('PL1(Full)'!$H1177="Thôn",'PL1(Full)'!$I1177&lt;75),"x",IF(AND('PL1(Full)'!$H1177="Tổ",'PL1(Full)'!$I1177&lt;100),"x","-"))</f>
        <v>x</v>
      </c>
      <c r="V1177" s="34" t="str">
        <f>IF(AND('PL1(Full)'!$H1177="Thôn",'PL1(Full)'!$I1177&lt;140),"x",IF(AND('PL1(Full)'!$H1177="Tổ",'PL1(Full)'!$I1177&lt;210),"x","-"))</f>
        <v>x</v>
      </c>
      <c r="W1177" s="40" t="str">
        <f t="shared" si="175"/>
        <v>Loại 3</v>
      </c>
      <c r="X1177" s="34"/>
    </row>
    <row r="1178" spans="1:24" ht="15.75" customHeight="1">
      <c r="A1178" s="30">
        <f>_xlfn.AGGREGATE(4,7,A$6:A1177)+1</f>
        <v>886</v>
      </c>
      <c r="B1178" s="54" t="str">
        <f t="shared" si="191"/>
        <v>H. Pác Nặm</v>
      </c>
      <c r="C1178" s="54" t="str">
        <f t="shared" si="200"/>
        <v>X. Xuân La</v>
      </c>
      <c r="D1178" s="34"/>
      <c r="E1178" s="34" t="s">
        <v>58</v>
      </c>
      <c r="F1178" s="54" t="s">
        <v>1236</v>
      </c>
      <c r="G1178" s="34"/>
      <c r="H1178" s="34" t="str">
        <f>IF(LEFT('PL1(Full)'!$F1178,4)="Thôn","Thôn","Tổ")</f>
        <v>Thôn</v>
      </c>
      <c r="I1178" s="36">
        <v>34</v>
      </c>
      <c r="J1178" s="36">
        <v>174</v>
      </c>
      <c r="K1178" s="36">
        <v>34</v>
      </c>
      <c r="L1178" s="37">
        <f t="shared" si="0"/>
        <v>100</v>
      </c>
      <c r="M1178" s="36">
        <v>19</v>
      </c>
      <c r="N1178" s="38">
        <f t="shared" si="1"/>
        <v>55.882352941176471</v>
      </c>
      <c r="O1178" s="36">
        <v>19</v>
      </c>
      <c r="P1178" s="38">
        <f t="shared" si="2"/>
        <v>100</v>
      </c>
      <c r="Q1178" s="39" t="s">
        <v>63</v>
      </c>
      <c r="R1178" s="39" t="str">
        <f t="shared" si="3"/>
        <v>X</v>
      </c>
      <c r="S1178" s="34"/>
      <c r="T1178" s="34" t="str">
        <f>IF('PL1(Full)'!$N1178&gt;=20,"x",IF(AND('PL1(Full)'!$N1178&gt;=15,'PL1(Full)'!$P1178&gt;60),"x",""))</f>
        <v>x</v>
      </c>
      <c r="U1178" s="34" t="str">
        <f>IF(AND('PL1(Full)'!$H1178="Thôn",'PL1(Full)'!$I1178&lt;75),"x",IF(AND('PL1(Full)'!$H1178="Tổ",'PL1(Full)'!$I1178&lt;100),"x","-"))</f>
        <v>x</v>
      </c>
      <c r="V1178" s="34" t="str">
        <f>IF(AND('PL1(Full)'!$H1178="Thôn",'PL1(Full)'!$I1178&lt;140),"x",IF(AND('PL1(Full)'!$H1178="Tổ",'PL1(Full)'!$I1178&lt;210),"x","-"))</f>
        <v>x</v>
      </c>
      <c r="W1178" s="40" t="str">
        <f t="shared" si="175"/>
        <v>Loại 3</v>
      </c>
      <c r="X1178" s="34"/>
    </row>
    <row r="1179" spans="1:24" ht="15.75" customHeight="1">
      <c r="A1179" s="30">
        <f>_xlfn.AGGREGATE(4,7,A$6:A1178)+1</f>
        <v>887</v>
      </c>
      <c r="B1179" s="54" t="str">
        <f t="shared" si="191"/>
        <v>H. Pác Nặm</v>
      </c>
      <c r="C1179" s="54" t="str">
        <f t="shared" si="200"/>
        <v>X. Xuân La</v>
      </c>
      <c r="D1179" s="34"/>
      <c r="E1179" s="34" t="s">
        <v>58</v>
      </c>
      <c r="F1179" s="54" t="s">
        <v>1237</v>
      </c>
      <c r="G1179" s="34" t="s">
        <v>40</v>
      </c>
      <c r="H1179" s="34" t="str">
        <f>IF(LEFT('PL1(Full)'!$F1179,4)="Thôn","Thôn","Tổ")</f>
        <v>Thôn</v>
      </c>
      <c r="I1179" s="36">
        <v>65</v>
      </c>
      <c r="J1179" s="36">
        <v>348</v>
      </c>
      <c r="K1179" s="36">
        <v>65</v>
      </c>
      <c r="L1179" s="37">
        <f t="shared" si="0"/>
        <v>100</v>
      </c>
      <c r="M1179" s="36">
        <v>51</v>
      </c>
      <c r="N1179" s="38">
        <f t="shared" si="1"/>
        <v>78.461538461538467</v>
      </c>
      <c r="O1179" s="36">
        <v>51</v>
      </c>
      <c r="P1179" s="38">
        <f t="shared" si="2"/>
        <v>100</v>
      </c>
      <c r="Q1179" s="39" t="s">
        <v>49</v>
      </c>
      <c r="R1179" s="39" t="str">
        <f t="shared" si="3"/>
        <v>X</v>
      </c>
      <c r="S1179" s="34" t="s">
        <v>60</v>
      </c>
      <c r="T1179" s="34" t="str">
        <f>IF('PL1(Full)'!$N1179&gt;=20,"x",IF(AND('PL1(Full)'!$N1179&gt;=15,'PL1(Full)'!$P1179&gt;60),"x",""))</f>
        <v>x</v>
      </c>
      <c r="U1179" s="34" t="str">
        <f>IF(AND('PL1(Full)'!$H1179="Thôn",'PL1(Full)'!$I1179&lt;75),"x",IF(AND('PL1(Full)'!$H1179="Tổ",'PL1(Full)'!$I1179&lt;100),"x","-"))</f>
        <v>x</v>
      </c>
      <c r="V1179" s="34" t="str">
        <f>IF(AND('PL1(Full)'!$H1179="Thôn",'PL1(Full)'!$I1179&lt;140),"x",IF(AND('PL1(Full)'!$H1179="Tổ",'PL1(Full)'!$I1179&lt;210),"x","-"))</f>
        <v>x</v>
      </c>
      <c r="W1179" s="40" t="str">
        <f t="shared" si="175"/>
        <v>Loại 3</v>
      </c>
      <c r="X1179" s="34"/>
    </row>
    <row r="1180" spans="1:24" ht="15.75" hidden="1" customHeight="1">
      <c r="A1180" s="30">
        <f>_xlfn.AGGREGATE(4,7,A$6:A1179)+1</f>
        <v>888</v>
      </c>
      <c r="B1180" s="54" t="str">
        <f t="shared" si="191"/>
        <v>H. Pác Nặm</v>
      </c>
      <c r="C1180" s="54" t="str">
        <f t="shared" si="200"/>
        <v>X. Xuân La</v>
      </c>
      <c r="D1180" s="34"/>
      <c r="E1180" s="34" t="s">
        <v>58</v>
      </c>
      <c r="F1180" s="54" t="s">
        <v>1238</v>
      </c>
      <c r="G1180" s="34"/>
      <c r="H1180" s="34" t="str">
        <f>IF(LEFT('PL1(Full)'!$F1180,4)="Thôn","Thôn","Tổ")</f>
        <v>Thôn</v>
      </c>
      <c r="I1180" s="36">
        <v>80</v>
      </c>
      <c r="J1180" s="36">
        <v>414</v>
      </c>
      <c r="K1180" s="36">
        <v>80</v>
      </c>
      <c r="L1180" s="37">
        <f t="shared" si="0"/>
        <v>100</v>
      </c>
      <c r="M1180" s="36">
        <v>68</v>
      </c>
      <c r="N1180" s="38">
        <f t="shared" si="1"/>
        <v>85</v>
      </c>
      <c r="O1180" s="36">
        <v>68</v>
      </c>
      <c r="P1180" s="38">
        <f t="shared" si="2"/>
        <v>100</v>
      </c>
      <c r="Q1180" s="39" t="s">
        <v>1075</v>
      </c>
      <c r="R1180" s="39" t="str">
        <f t="shared" si="3"/>
        <v>T</v>
      </c>
      <c r="S1180" s="34" t="s">
        <v>60</v>
      </c>
      <c r="T1180" s="34" t="str">
        <f>IF('PL1(Full)'!$N1180&gt;=20,"x",IF(AND('PL1(Full)'!$N1180&gt;=15,'PL1(Full)'!$P1180&gt;60),"x",""))</f>
        <v>x</v>
      </c>
      <c r="U1180" s="34" t="str">
        <f>IF(AND('PL1(Full)'!$H1180="Thôn",'PL1(Full)'!$I1180&lt;75),"x",IF(AND('PL1(Full)'!$H1180="Tổ",'PL1(Full)'!$I1180&lt;100),"x","-"))</f>
        <v>-</v>
      </c>
      <c r="V1180" s="34" t="str">
        <f>IF(AND('PL1(Full)'!$H1180="Thôn",'PL1(Full)'!$I1180&lt;140),"x",IF(AND('PL1(Full)'!$H1180="Tổ",'PL1(Full)'!$I1180&lt;210),"x","-"))</f>
        <v>x</v>
      </c>
      <c r="W1180" s="40" t="str">
        <f t="shared" si="175"/>
        <v>Loại 3</v>
      </c>
      <c r="X1180" s="34"/>
    </row>
    <row r="1181" spans="1:24" ht="15.75" hidden="1" customHeight="1">
      <c r="A1181" s="41">
        <f>_xlfn.AGGREGATE(4,7,A$6:A1180)+1</f>
        <v>888</v>
      </c>
      <c r="B1181" s="55" t="str">
        <f t="shared" si="191"/>
        <v>H. Pác Nặm</v>
      </c>
      <c r="C1181" s="55" t="str">
        <f t="shared" si="200"/>
        <v>X. Xuân La</v>
      </c>
      <c r="D1181" s="50"/>
      <c r="E1181" s="50" t="s">
        <v>58</v>
      </c>
      <c r="F1181" s="55" t="s">
        <v>1239</v>
      </c>
      <c r="G1181" s="50"/>
      <c r="H1181" s="50" t="str">
        <f>IF(LEFT('PL1(Full)'!$F1181,4)="Thôn","Thôn","Tổ")</f>
        <v>Thôn</v>
      </c>
      <c r="I1181" s="46">
        <v>123</v>
      </c>
      <c r="J1181" s="46">
        <v>632</v>
      </c>
      <c r="K1181" s="46">
        <v>123</v>
      </c>
      <c r="L1181" s="47">
        <f t="shared" si="0"/>
        <v>100</v>
      </c>
      <c r="M1181" s="46">
        <v>29</v>
      </c>
      <c r="N1181" s="48">
        <f t="shared" si="1"/>
        <v>23.577235772357724</v>
      </c>
      <c r="O1181" s="46">
        <v>29</v>
      </c>
      <c r="P1181" s="48">
        <f t="shared" si="2"/>
        <v>100</v>
      </c>
      <c r="Q1181" s="150" t="s">
        <v>43</v>
      </c>
      <c r="R1181" s="150" t="str">
        <f t="shared" si="3"/>
        <v>X</v>
      </c>
      <c r="S1181" s="58"/>
      <c r="T1181" s="50" t="str">
        <f>IF('PL1(Full)'!$N1181&gt;=20,"x",IF(AND('PL1(Full)'!$N1181&gt;=15,'PL1(Full)'!$P1181&gt;60),"x",""))</f>
        <v>x</v>
      </c>
      <c r="U1181" s="50" t="str">
        <f>IF(AND('PL1(Full)'!$H1181="Thôn",'PL1(Full)'!$I1181&lt;75),"x",IF(AND('PL1(Full)'!$H1181="Tổ",'PL1(Full)'!$I1181&lt;100),"x","-"))</f>
        <v>-</v>
      </c>
      <c r="V1181" s="34" t="str">
        <f>IF(AND('PL1(Full)'!$H1181="Thôn",'PL1(Full)'!$I1181&lt;140),"x",IF(AND('PL1(Full)'!$H1181="Tổ",'PL1(Full)'!$I1181&lt;210),"x","-"))</f>
        <v>x</v>
      </c>
      <c r="W1181" s="51" t="str">
        <f t="shared" si="175"/>
        <v>Loại 2</v>
      </c>
      <c r="X1181" s="58"/>
    </row>
    <row r="1182" spans="1:24" ht="15.75" hidden="1" customHeight="1">
      <c r="A1182" s="12">
        <f>_xlfn.AGGREGATE(4,7,A$6:A1181)+1</f>
        <v>888</v>
      </c>
      <c r="B1182" s="13" t="s">
        <v>1240</v>
      </c>
      <c r="C1182" s="14" t="s">
        <v>1241</v>
      </c>
      <c r="D1182" s="15" t="s">
        <v>36</v>
      </c>
      <c r="E1182" s="16" t="s">
        <v>36</v>
      </c>
      <c r="F1182" s="65" t="s">
        <v>1242</v>
      </c>
      <c r="G1182" s="18"/>
      <c r="H1182" s="18" t="str">
        <f>IF(LEFT('PL1(Full)'!$F1182,4)="Thôn","Thôn","Tổ")</f>
        <v>Tổ</v>
      </c>
      <c r="I1182" s="20">
        <v>199</v>
      </c>
      <c r="J1182" s="20">
        <v>752</v>
      </c>
      <c r="K1182" s="20">
        <v>131</v>
      </c>
      <c r="L1182" s="21">
        <f t="shared" si="0"/>
        <v>65.829145728643212</v>
      </c>
      <c r="M1182" s="19">
        <v>3</v>
      </c>
      <c r="N1182" s="22">
        <f t="shared" si="1"/>
        <v>1.5075376884422111</v>
      </c>
      <c r="O1182" s="19">
        <v>0</v>
      </c>
      <c r="P1182" s="22">
        <f t="shared" si="2"/>
        <v>0</v>
      </c>
      <c r="Q1182" s="72" t="s">
        <v>158</v>
      </c>
      <c r="R1182" s="72" t="str">
        <f t="shared" si="3"/>
        <v>X</v>
      </c>
      <c r="S1182" s="73"/>
      <c r="T1182" s="26" t="str">
        <f>IF('PL1(Full)'!$N1182&gt;=20,"x",IF(AND('PL1(Full)'!$N1182&gt;=15,'PL1(Full)'!$P1182&gt;60),"x",""))</f>
        <v/>
      </c>
      <c r="U1182" s="27" t="str">
        <f>IF(AND('PL1(Full)'!$H1182="Thôn",'PL1(Full)'!$I1182&lt;75),"x",IF(AND('PL1(Full)'!$H1182="Tổ",'PL1(Full)'!$I1182&lt;100),"x","-"))</f>
        <v>-</v>
      </c>
      <c r="V1182" s="28" t="str">
        <f>IF(AND('PL1(Full)'!$H1182="Thôn",'PL1(Full)'!$I1182&lt;140),"x",IF(AND('PL1(Full)'!$H1182="Tổ",'PL1(Full)'!$I1182&lt;210),"x","-"))</f>
        <v>x</v>
      </c>
      <c r="W1182" s="29" t="str">
        <f t="shared" ref="W1182:W1274" si="201">IF(I1182&gt;=200,"Loại 1",IF(I1182&gt;=150,"Loại 2","Loại 3"))</f>
        <v>Loại 2</v>
      </c>
      <c r="X1182" s="18"/>
    </row>
    <row r="1183" spans="1:24" ht="15.75" hidden="1" customHeight="1">
      <c r="A1183" s="30">
        <f>_xlfn.AGGREGATE(4,7,A$6:A1182)+1</f>
        <v>888</v>
      </c>
      <c r="B1183" s="31" t="str">
        <f t="shared" ref="B1183:C1183" si="202">B1182</f>
        <v>TP. Bắc Kạn</v>
      </c>
      <c r="C1183" s="66" t="str">
        <f t="shared" si="202"/>
        <v>P. Đức Xuân</v>
      </c>
      <c r="D1183" s="32"/>
      <c r="E1183" s="32" t="s">
        <v>36</v>
      </c>
      <c r="F1183" s="66" t="s">
        <v>1243</v>
      </c>
      <c r="G1183" s="32"/>
      <c r="H1183" s="32" t="str">
        <f>IF(LEFT('PL1(Full)'!$F1183,4)="Thôn","Thôn","Tổ")</f>
        <v>Tổ</v>
      </c>
      <c r="I1183" s="36">
        <v>134</v>
      </c>
      <c r="J1183" s="36">
        <v>467</v>
      </c>
      <c r="K1183" s="36">
        <v>92</v>
      </c>
      <c r="L1183" s="37">
        <f t="shared" si="0"/>
        <v>68.656716417910445</v>
      </c>
      <c r="M1183" s="35">
        <v>1</v>
      </c>
      <c r="N1183" s="38">
        <f t="shared" si="1"/>
        <v>0.74626865671641796</v>
      </c>
      <c r="O1183" s="35">
        <v>0</v>
      </c>
      <c r="P1183" s="38">
        <f t="shared" si="2"/>
        <v>0</v>
      </c>
      <c r="Q1183" s="76" t="s">
        <v>47</v>
      </c>
      <c r="R1183" s="76" t="str">
        <f t="shared" si="3"/>
        <v>X</v>
      </c>
      <c r="S1183" s="77"/>
      <c r="T1183" s="34" t="str">
        <f>IF('PL1(Full)'!$N1183&gt;=20,"x",IF(AND('PL1(Full)'!$N1183&gt;=15,'PL1(Full)'!$P1183&gt;60),"x",""))</f>
        <v/>
      </c>
      <c r="U1183" s="34" t="str">
        <f>IF(AND('PL1(Full)'!$H1183="Thôn",'PL1(Full)'!$I1183&lt;75),"x",IF(AND('PL1(Full)'!$H1183="Tổ",'PL1(Full)'!$I1183&lt;100),"x","-"))</f>
        <v>-</v>
      </c>
      <c r="V1183" s="34" t="str">
        <f>IF(AND('PL1(Full)'!$H1183="Thôn",'PL1(Full)'!$I1183&lt;140),"x",IF(AND('PL1(Full)'!$H1183="Tổ",'PL1(Full)'!$I1183&lt;210),"x","-"))</f>
        <v>x</v>
      </c>
      <c r="W1183" s="40" t="str">
        <f t="shared" si="201"/>
        <v>Loại 3</v>
      </c>
      <c r="X1183" s="32"/>
    </row>
    <row r="1184" spans="1:24" ht="15.75" hidden="1" customHeight="1">
      <c r="A1184" s="30">
        <f>_xlfn.AGGREGATE(4,7,A$6:A1183)+1</f>
        <v>888</v>
      </c>
      <c r="B1184" s="31" t="str">
        <f t="shared" ref="B1184:C1184" si="203">B1183</f>
        <v>TP. Bắc Kạn</v>
      </c>
      <c r="C1184" s="66" t="str">
        <f t="shared" si="203"/>
        <v>P. Đức Xuân</v>
      </c>
      <c r="D1184" s="32"/>
      <c r="E1184" s="32" t="s">
        <v>36</v>
      </c>
      <c r="F1184" s="66" t="s">
        <v>639</v>
      </c>
      <c r="G1184" s="32"/>
      <c r="H1184" s="32" t="str">
        <f>IF(LEFT('PL1(Full)'!$F1184,4)="Thôn","Thôn","Tổ")</f>
        <v>Tổ</v>
      </c>
      <c r="I1184" s="36">
        <v>107</v>
      </c>
      <c r="J1184" s="36">
        <v>450</v>
      </c>
      <c r="K1184" s="36">
        <v>32</v>
      </c>
      <c r="L1184" s="37">
        <f t="shared" si="0"/>
        <v>29.906542056074766</v>
      </c>
      <c r="M1184" s="35">
        <v>1</v>
      </c>
      <c r="N1184" s="38">
        <f t="shared" si="1"/>
        <v>0.93457943925233644</v>
      </c>
      <c r="O1184" s="35">
        <v>0</v>
      </c>
      <c r="P1184" s="38">
        <f t="shared" si="2"/>
        <v>0</v>
      </c>
      <c r="Q1184" s="76" t="s">
        <v>49</v>
      </c>
      <c r="R1184" s="76" t="str">
        <f t="shared" si="3"/>
        <v>X</v>
      </c>
      <c r="S1184" s="77"/>
      <c r="T1184" s="34"/>
      <c r="U1184" s="34" t="str">
        <f>IF(AND('PL1(Full)'!$H1184="Thôn",'PL1(Full)'!$I1184&lt;75),"x",IF(AND('PL1(Full)'!$H1184="Tổ",'PL1(Full)'!$I1184&lt;100),"x","-"))</f>
        <v>-</v>
      </c>
      <c r="V1184" s="34" t="str">
        <f>IF(AND('PL1(Full)'!$H1184="Thôn",'PL1(Full)'!$I1184&lt;140),"x",IF(AND('PL1(Full)'!$H1184="Tổ",'PL1(Full)'!$I1184&lt;210),"x","-"))</f>
        <v>x</v>
      </c>
      <c r="W1184" s="40" t="str">
        <f t="shared" si="201"/>
        <v>Loại 3</v>
      </c>
      <c r="X1184" s="32"/>
    </row>
    <row r="1185" spans="1:24" ht="15.75" hidden="1" customHeight="1">
      <c r="A1185" s="30">
        <f>_xlfn.AGGREGATE(4,7,A$6:A1184)+1</f>
        <v>888</v>
      </c>
      <c r="B1185" s="31" t="str">
        <f t="shared" ref="B1185:C1185" si="204">B1184</f>
        <v>TP. Bắc Kạn</v>
      </c>
      <c r="C1185" s="66" t="str">
        <f t="shared" si="204"/>
        <v>P. Đức Xuân</v>
      </c>
      <c r="D1185" s="32"/>
      <c r="E1185" s="32" t="s">
        <v>36</v>
      </c>
      <c r="F1185" s="66" t="s">
        <v>414</v>
      </c>
      <c r="G1185" s="32"/>
      <c r="H1185" s="32" t="str">
        <f>IF(LEFT('PL1(Full)'!$F1185,4)="Thôn","Thôn","Tổ")</f>
        <v>Tổ</v>
      </c>
      <c r="I1185" s="36">
        <v>152</v>
      </c>
      <c r="J1185" s="36">
        <v>462</v>
      </c>
      <c r="K1185" s="36">
        <v>136</v>
      </c>
      <c r="L1185" s="37">
        <f t="shared" si="0"/>
        <v>89.473684210526315</v>
      </c>
      <c r="M1185" s="35">
        <v>3</v>
      </c>
      <c r="N1185" s="38">
        <f t="shared" si="1"/>
        <v>1.9736842105263157</v>
      </c>
      <c r="O1185" s="35">
        <v>3</v>
      </c>
      <c r="P1185" s="38">
        <f t="shared" si="2"/>
        <v>100</v>
      </c>
      <c r="Q1185" s="76" t="s">
        <v>63</v>
      </c>
      <c r="R1185" s="76" t="str">
        <f t="shared" si="3"/>
        <v>X</v>
      </c>
      <c r="S1185" s="77"/>
      <c r="T1185" s="34" t="str">
        <f>IF('PL1(Full)'!$N1185&gt;=20,"x",IF(AND('PL1(Full)'!$N1185&gt;=15,'PL1(Full)'!$P1185&gt;60),"x",""))</f>
        <v/>
      </c>
      <c r="U1185" s="34" t="str">
        <f>IF(AND('PL1(Full)'!$H1185="Thôn",'PL1(Full)'!$I1185&lt;75),"x",IF(AND('PL1(Full)'!$H1185="Tổ",'PL1(Full)'!$I1185&lt;100),"x","-"))</f>
        <v>-</v>
      </c>
      <c r="V1185" s="34" t="str">
        <f>IF(AND('PL1(Full)'!$H1185="Thôn",'PL1(Full)'!$I1185&lt;140),"x",IF(AND('PL1(Full)'!$H1185="Tổ",'PL1(Full)'!$I1185&lt;210),"x","-"))</f>
        <v>x</v>
      </c>
      <c r="W1185" s="40" t="str">
        <f t="shared" si="201"/>
        <v>Loại 2</v>
      </c>
      <c r="X1185" s="32"/>
    </row>
    <row r="1186" spans="1:24" ht="15.75" hidden="1" customHeight="1">
      <c r="A1186" s="30">
        <f>_xlfn.AGGREGATE(4,7,A$6:A1185)+1</f>
        <v>888</v>
      </c>
      <c r="B1186" s="31" t="str">
        <f t="shared" ref="B1186:C1186" si="205">B1185</f>
        <v>TP. Bắc Kạn</v>
      </c>
      <c r="C1186" s="66" t="str">
        <f t="shared" si="205"/>
        <v>P. Đức Xuân</v>
      </c>
      <c r="D1186" s="32"/>
      <c r="E1186" s="32" t="s">
        <v>36</v>
      </c>
      <c r="F1186" s="66" t="s">
        <v>415</v>
      </c>
      <c r="G1186" s="32"/>
      <c r="H1186" s="32" t="str">
        <f>IF(LEFT('PL1(Full)'!$F1186,4)="Thôn","Thôn","Tổ")</f>
        <v>Tổ</v>
      </c>
      <c r="I1186" s="36">
        <v>170</v>
      </c>
      <c r="J1186" s="36">
        <v>617</v>
      </c>
      <c r="K1186" s="36">
        <v>138</v>
      </c>
      <c r="L1186" s="37">
        <f t="shared" si="0"/>
        <v>81.17647058823529</v>
      </c>
      <c r="M1186" s="35">
        <v>2</v>
      </c>
      <c r="N1186" s="38">
        <f t="shared" si="1"/>
        <v>1.1764705882352942</v>
      </c>
      <c r="O1186" s="35">
        <v>1</v>
      </c>
      <c r="P1186" s="38">
        <f t="shared" si="2"/>
        <v>50</v>
      </c>
      <c r="Q1186" s="76" t="s">
        <v>158</v>
      </c>
      <c r="R1186" s="76" t="str">
        <f t="shared" si="3"/>
        <v>X</v>
      </c>
      <c r="S1186" s="77"/>
      <c r="T1186" s="34" t="str">
        <f>IF('PL1(Full)'!$N1186&gt;=20,"x",IF(AND('PL1(Full)'!$N1186&gt;=15,'PL1(Full)'!$P1186&gt;60),"x",""))</f>
        <v/>
      </c>
      <c r="U1186" s="34" t="str">
        <f>IF(AND('PL1(Full)'!$H1186="Thôn",'PL1(Full)'!$I1186&lt;75),"x",IF(AND('PL1(Full)'!$H1186="Tổ",'PL1(Full)'!$I1186&lt;100),"x","-"))</f>
        <v>-</v>
      </c>
      <c r="V1186" s="34" t="str">
        <f>IF(AND('PL1(Full)'!$H1186="Thôn",'PL1(Full)'!$I1186&lt;140),"x",IF(AND('PL1(Full)'!$H1186="Tổ",'PL1(Full)'!$I1186&lt;210),"x","-"))</f>
        <v>x</v>
      </c>
      <c r="W1186" s="40" t="str">
        <f t="shared" si="201"/>
        <v>Loại 2</v>
      </c>
      <c r="X1186" s="32"/>
    </row>
    <row r="1187" spans="1:24" ht="15.75" hidden="1" customHeight="1">
      <c r="A1187" s="30">
        <f>_xlfn.AGGREGATE(4,7,A$6:A1186)+1</f>
        <v>888</v>
      </c>
      <c r="B1187" s="31" t="str">
        <f t="shared" ref="B1187:C1187" si="206">B1186</f>
        <v>TP. Bắc Kạn</v>
      </c>
      <c r="C1187" s="66" t="str">
        <f t="shared" si="206"/>
        <v>P. Đức Xuân</v>
      </c>
      <c r="D1187" s="32"/>
      <c r="E1187" s="32" t="s">
        <v>36</v>
      </c>
      <c r="F1187" s="66" t="s">
        <v>640</v>
      </c>
      <c r="G1187" s="32"/>
      <c r="H1187" s="32" t="str">
        <f>IF(LEFT('PL1(Full)'!$F1187,4)="Thôn","Thôn","Tổ")</f>
        <v>Tổ</v>
      </c>
      <c r="I1187" s="36">
        <v>110</v>
      </c>
      <c r="J1187" s="36">
        <v>359</v>
      </c>
      <c r="K1187" s="36">
        <v>48</v>
      </c>
      <c r="L1187" s="37">
        <f t="shared" si="0"/>
        <v>43.636363636363633</v>
      </c>
      <c r="M1187" s="35">
        <v>1</v>
      </c>
      <c r="N1187" s="38">
        <f t="shared" si="1"/>
        <v>0.90909090909090906</v>
      </c>
      <c r="O1187" s="35">
        <v>0</v>
      </c>
      <c r="P1187" s="38">
        <f t="shared" si="2"/>
        <v>0</v>
      </c>
      <c r="Q1187" s="76" t="s">
        <v>1244</v>
      </c>
      <c r="R1187" s="76" t="str">
        <f t="shared" si="3"/>
        <v>X</v>
      </c>
      <c r="S1187" s="77"/>
      <c r="T1187" s="34"/>
      <c r="U1187" s="34" t="str">
        <f>IF(AND('PL1(Full)'!$H1187="Thôn",'PL1(Full)'!$I1187&lt;75),"x",IF(AND('PL1(Full)'!$H1187="Tổ",'PL1(Full)'!$I1187&lt;100),"x","-"))</f>
        <v>-</v>
      </c>
      <c r="V1187" s="34" t="str">
        <f>IF(AND('PL1(Full)'!$H1187="Thôn",'PL1(Full)'!$I1187&lt;140),"x",IF(AND('PL1(Full)'!$H1187="Tổ",'PL1(Full)'!$I1187&lt;210),"x","-"))</f>
        <v>x</v>
      </c>
      <c r="W1187" s="40" t="str">
        <f t="shared" si="201"/>
        <v>Loại 3</v>
      </c>
      <c r="X1187" s="32"/>
    </row>
    <row r="1188" spans="1:24" ht="15.75" hidden="1" customHeight="1">
      <c r="A1188" s="30">
        <f>_xlfn.AGGREGATE(4,7,A$6:A1187)+1</f>
        <v>888</v>
      </c>
      <c r="B1188" s="31" t="str">
        <f t="shared" ref="B1188:C1188" si="207">B1187</f>
        <v>TP. Bắc Kạn</v>
      </c>
      <c r="C1188" s="66" t="str">
        <f t="shared" si="207"/>
        <v>P. Đức Xuân</v>
      </c>
      <c r="D1188" s="32"/>
      <c r="E1188" s="32" t="s">
        <v>36</v>
      </c>
      <c r="F1188" s="66" t="s">
        <v>419</v>
      </c>
      <c r="G1188" s="32"/>
      <c r="H1188" s="32" t="str">
        <f>IF(LEFT('PL1(Full)'!$F1188,4)="Thôn","Thôn","Tổ")</f>
        <v>Tổ</v>
      </c>
      <c r="I1188" s="36">
        <v>146</v>
      </c>
      <c r="J1188" s="36">
        <v>557</v>
      </c>
      <c r="K1188" s="36">
        <v>68</v>
      </c>
      <c r="L1188" s="37">
        <f t="shared" si="0"/>
        <v>46.575342465753423</v>
      </c>
      <c r="M1188" s="35">
        <v>0</v>
      </c>
      <c r="N1188" s="38">
        <f t="shared" si="1"/>
        <v>0</v>
      </c>
      <c r="O1188" s="35">
        <v>0</v>
      </c>
      <c r="P1188" s="38">
        <f t="shared" si="2"/>
        <v>0</v>
      </c>
      <c r="Q1188" s="76" t="s">
        <v>158</v>
      </c>
      <c r="R1188" s="76" t="str">
        <f t="shared" si="3"/>
        <v>X</v>
      </c>
      <c r="S1188" s="77"/>
      <c r="T1188" s="34"/>
      <c r="U1188" s="34" t="str">
        <f>IF(AND('PL1(Full)'!$H1188="Thôn",'PL1(Full)'!$I1188&lt;75),"x",IF(AND('PL1(Full)'!$H1188="Tổ",'PL1(Full)'!$I1188&lt;100),"x","-"))</f>
        <v>-</v>
      </c>
      <c r="V1188" s="34" t="str">
        <f>IF(AND('PL1(Full)'!$H1188="Thôn",'PL1(Full)'!$I1188&lt;140),"x",IF(AND('PL1(Full)'!$H1188="Tổ",'PL1(Full)'!$I1188&lt;210),"x","-"))</f>
        <v>x</v>
      </c>
      <c r="W1188" s="40" t="str">
        <f t="shared" si="201"/>
        <v>Loại 3</v>
      </c>
      <c r="X1188" s="32"/>
    </row>
    <row r="1189" spans="1:24" ht="15.75" hidden="1" customHeight="1">
      <c r="A1189" s="30">
        <f>_xlfn.AGGREGATE(4,7,A$6:A1188)+1</f>
        <v>888</v>
      </c>
      <c r="B1189" s="31" t="str">
        <f t="shared" ref="B1189:C1189" si="208">B1188</f>
        <v>TP. Bắc Kạn</v>
      </c>
      <c r="C1189" s="66" t="str">
        <f t="shared" si="208"/>
        <v>P. Đức Xuân</v>
      </c>
      <c r="D1189" s="32"/>
      <c r="E1189" s="32" t="s">
        <v>36</v>
      </c>
      <c r="F1189" s="66" t="s">
        <v>1245</v>
      </c>
      <c r="G1189" s="32"/>
      <c r="H1189" s="32" t="str">
        <f>IF(LEFT('PL1(Full)'!$F1189,4)="Thôn","Thôn","Tổ")</f>
        <v>Tổ</v>
      </c>
      <c r="I1189" s="36">
        <v>107</v>
      </c>
      <c r="J1189" s="36">
        <v>454</v>
      </c>
      <c r="K1189" s="36">
        <v>59</v>
      </c>
      <c r="L1189" s="37">
        <f t="shared" si="0"/>
        <v>55.140186915887853</v>
      </c>
      <c r="M1189" s="35">
        <v>2</v>
      </c>
      <c r="N1189" s="38">
        <f t="shared" si="1"/>
        <v>1.8691588785046729</v>
      </c>
      <c r="O1189" s="35">
        <v>0</v>
      </c>
      <c r="P1189" s="38">
        <f t="shared" si="2"/>
        <v>0</v>
      </c>
      <c r="Q1189" s="76" t="s">
        <v>63</v>
      </c>
      <c r="R1189" s="76" t="str">
        <f t="shared" si="3"/>
        <v>X</v>
      </c>
      <c r="S1189" s="77"/>
      <c r="T1189" s="34" t="str">
        <f>IF('PL1(Full)'!$N1189&gt;=20,"x",IF(AND('PL1(Full)'!$N1189&gt;=15,'PL1(Full)'!$P1189&gt;60),"x",""))</f>
        <v/>
      </c>
      <c r="U1189" s="34" t="str">
        <f>IF(AND('PL1(Full)'!$H1189="Thôn",'PL1(Full)'!$I1189&lt;75),"x",IF(AND('PL1(Full)'!$H1189="Tổ",'PL1(Full)'!$I1189&lt;100),"x","-"))</f>
        <v>-</v>
      </c>
      <c r="V1189" s="34" t="str">
        <f>IF(AND('PL1(Full)'!$H1189="Thôn",'PL1(Full)'!$I1189&lt;140),"x",IF(AND('PL1(Full)'!$H1189="Tổ",'PL1(Full)'!$I1189&lt;210),"x","-"))</f>
        <v>x</v>
      </c>
      <c r="W1189" s="40" t="str">
        <f t="shared" si="201"/>
        <v>Loại 3</v>
      </c>
      <c r="X1189" s="32"/>
    </row>
    <row r="1190" spans="1:24" ht="15.75" hidden="1" customHeight="1">
      <c r="A1190" s="30">
        <f>_xlfn.AGGREGATE(4,7,A$6:A1189)+1</f>
        <v>888</v>
      </c>
      <c r="B1190" s="31" t="str">
        <f t="shared" ref="B1190:C1190" si="209">B1189</f>
        <v>TP. Bắc Kạn</v>
      </c>
      <c r="C1190" s="66" t="str">
        <f t="shared" si="209"/>
        <v>P. Đức Xuân</v>
      </c>
      <c r="D1190" s="32"/>
      <c r="E1190" s="32" t="s">
        <v>36</v>
      </c>
      <c r="F1190" s="66" t="s">
        <v>1246</v>
      </c>
      <c r="G1190" s="32"/>
      <c r="H1190" s="32" t="str">
        <f>IF(LEFT('PL1(Full)'!$F1190,4)="Thôn","Thôn","Tổ")</f>
        <v>Tổ</v>
      </c>
      <c r="I1190" s="36">
        <v>131</v>
      </c>
      <c r="J1190" s="36">
        <v>523</v>
      </c>
      <c r="K1190" s="36">
        <v>104</v>
      </c>
      <c r="L1190" s="37">
        <f t="shared" si="0"/>
        <v>79.389312977099237</v>
      </c>
      <c r="M1190" s="35">
        <v>0</v>
      </c>
      <c r="N1190" s="38">
        <f t="shared" si="1"/>
        <v>0</v>
      </c>
      <c r="O1190" s="35">
        <v>0</v>
      </c>
      <c r="P1190" s="38">
        <f t="shared" si="2"/>
        <v>0</v>
      </c>
      <c r="Q1190" s="76" t="s">
        <v>491</v>
      </c>
      <c r="R1190" s="76" t="str">
        <f t="shared" si="3"/>
        <v>X</v>
      </c>
      <c r="S1190" s="77"/>
      <c r="T1190" s="34"/>
      <c r="U1190" s="34" t="str">
        <f>IF(AND('PL1(Full)'!$H1190="Thôn",'PL1(Full)'!$I1190&lt;75),"x",IF(AND('PL1(Full)'!$H1190="Tổ",'PL1(Full)'!$I1190&lt;100),"x","-"))</f>
        <v>-</v>
      </c>
      <c r="V1190" s="34" t="str">
        <f>IF(AND('PL1(Full)'!$H1190="Thôn",'PL1(Full)'!$I1190&lt;140),"x",IF(AND('PL1(Full)'!$H1190="Tổ",'PL1(Full)'!$I1190&lt;210),"x","-"))</f>
        <v>x</v>
      </c>
      <c r="W1190" s="40" t="str">
        <f t="shared" si="201"/>
        <v>Loại 3</v>
      </c>
      <c r="X1190" s="32"/>
    </row>
    <row r="1191" spans="1:24" ht="15.75" hidden="1" customHeight="1">
      <c r="A1191" s="30">
        <f>_xlfn.AGGREGATE(4,7,A$6:A1190)+1</f>
        <v>888</v>
      </c>
      <c r="B1191" s="31" t="str">
        <f t="shared" ref="B1191:C1191" si="210">B1190</f>
        <v>TP. Bắc Kạn</v>
      </c>
      <c r="C1191" s="66" t="str">
        <f t="shared" si="210"/>
        <v>P. Đức Xuân</v>
      </c>
      <c r="D1191" s="32"/>
      <c r="E1191" s="32" t="s">
        <v>36</v>
      </c>
      <c r="F1191" s="66" t="s">
        <v>1247</v>
      </c>
      <c r="G1191" s="32"/>
      <c r="H1191" s="32" t="str">
        <f>IF(LEFT('PL1(Full)'!$F1191,4)="Thôn","Thôn","Tổ")</f>
        <v>Tổ</v>
      </c>
      <c r="I1191" s="36">
        <v>162</v>
      </c>
      <c r="J1191" s="36">
        <v>629</v>
      </c>
      <c r="K1191" s="36">
        <v>55</v>
      </c>
      <c r="L1191" s="37">
        <f t="shared" si="0"/>
        <v>33.950617283950621</v>
      </c>
      <c r="M1191" s="35">
        <v>0</v>
      </c>
      <c r="N1191" s="38">
        <f t="shared" si="1"/>
        <v>0</v>
      </c>
      <c r="O1191" s="35">
        <v>0</v>
      </c>
      <c r="P1191" s="38">
        <f t="shared" si="2"/>
        <v>0</v>
      </c>
      <c r="Q1191" s="76" t="s">
        <v>49</v>
      </c>
      <c r="R1191" s="76" t="str">
        <f t="shared" si="3"/>
        <v>X</v>
      </c>
      <c r="S1191" s="77"/>
      <c r="T1191" s="34"/>
      <c r="U1191" s="34" t="str">
        <f>IF(AND('PL1(Full)'!$H1191="Thôn",'PL1(Full)'!$I1191&lt;75),"x",IF(AND('PL1(Full)'!$H1191="Tổ",'PL1(Full)'!$I1191&lt;100),"x","-"))</f>
        <v>-</v>
      </c>
      <c r="V1191" s="34" t="str">
        <f>IF(AND('PL1(Full)'!$H1191="Thôn",'PL1(Full)'!$I1191&lt;140),"x",IF(AND('PL1(Full)'!$H1191="Tổ",'PL1(Full)'!$I1191&lt;210),"x","-"))</f>
        <v>x</v>
      </c>
      <c r="W1191" s="40" t="str">
        <f t="shared" si="201"/>
        <v>Loại 2</v>
      </c>
      <c r="X1191" s="32"/>
    </row>
    <row r="1192" spans="1:24" ht="15.75" hidden="1" customHeight="1">
      <c r="A1192" s="30">
        <f>_xlfn.AGGREGATE(4,7,A$6:A1191)+1</f>
        <v>888</v>
      </c>
      <c r="B1192" s="31" t="str">
        <f t="shared" ref="B1192:C1192" si="211">B1191</f>
        <v>TP. Bắc Kạn</v>
      </c>
      <c r="C1192" s="66" t="str">
        <f t="shared" si="211"/>
        <v>P. Đức Xuân</v>
      </c>
      <c r="D1192" s="32"/>
      <c r="E1192" s="32" t="s">
        <v>36</v>
      </c>
      <c r="F1192" s="66" t="s">
        <v>1248</v>
      </c>
      <c r="G1192" s="32"/>
      <c r="H1192" s="32" t="str">
        <f>IF(LEFT('PL1(Full)'!$F1192,4)="Thôn","Thôn","Tổ")</f>
        <v>Tổ</v>
      </c>
      <c r="I1192" s="36">
        <v>134</v>
      </c>
      <c r="J1192" s="36">
        <v>539</v>
      </c>
      <c r="K1192" s="36">
        <v>94</v>
      </c>
      <c r="L1192" s="37">
        <f t="shared" si="0"/>
        <v>70.149253731343279</v>
      </c>
      <c r="M1192" s="35">
        <v>0</v>
      </c>
      <c r="N1192" s="38">
        <f t="shared" si="1"/>
        <v>0</v>
      </c>
      <c r="O1192" s="35">
        <v>0</v>
      </c>
      <c r="P1192" s="38">
        <f t="shared" si="2"/>
        <v>0</v>
      </c>
      <c r="Q1192" s="76" t="s">
        <v>43</v>
      </c>
      <c r="R1192" s="76" t="str">
        <f t="shared" si="3"/>
        <v>X</v>
      </c>
      <c r="S1192" s="77"/>
      <c r="T1192" s="34"/>
      <c r="U1192" s="34" t="str">
        <f>IF(AND('PL1(Full)'!$H1192="Thôn",'PL1(Full)'!$I1192&lt;75),"x",IF(AND('PL1(Full)'!$H1192="Tổ",'PL1(Full)'!$I1192&lt;100),"x","-"))</f>
        <v>-</v>
      </c>
      <c r="V1192" s="34" t="str">
        <f>IF(AND('PL1(Full)'!$H1192="Thôn",'PL1(Full)'!$I1192&lt;140),"x",IF(AND('PL1(Full)'!$H1192="Tổ",'PL1(Full)'!$I1192&lt;210),"x","-"))</f>
        <v>x</v>
      </c>
      <c r="W1192" s="40" t="str">
        <f t="shared" si="201"/>
        <v>Loại 3</v>
      </c>
      <c r="X1192" s="32"/>
    </row>
    <row r="1193" spans="1:24" ht="15.75" customHeight="1">
      <c r="A1193" s="30">
        <f>_xlfn.AGGREGATE(4,7,A$6:A1192)+1</f>
        <v>888</v>
      </c>
      <c r="B1193" s="31" t="str">
        <f t="shared" ref="B1193:C1193" si="212">B1192</f>
        <v>TP. Bắc Kạn</v>
      </c>
      <c r="C1193" s="66" t="str">
        <f t="shared" si="212"/>
        <v>P. Đức Xuân</v>
      </c>
      <c r="D1193" s="32"/>
      <c r="E1193" s="32" t="s">
        <v>36</v>
      </c>
      <c r="F1193" s="66" t="s">
        <v>1249</v>
      </c>
      <c r="G1193" s="32"/>
      <c r="H1193" s="32" t="str">
        <f>IF(LEFT('PL1(Full)'!$F1193,4)="Thôn","Thôn","Tổ")</f>
        <v>Tổ</v>
      </c>
      <c r="I1193" s="36">
        <v>85</v>
      </c>
      <c r="J1193" s="36">
        <v>323</v>
      </c>
      <c r="K1193" s="36">
        <v>24</v>
      </c>
      <c r="L1193" s="37">
        <f t="shared" si="0"/>
        <v>28.235294117647058</v>
      </c>
      <c r="M1193" s="35">
        <v>0</v>
      </c>
      <c r="N1193" s="38">
        <f t="shared" si="1"/>
        <v>0</v>
      </c>
      <c r="O1193" s="35">
        <v>0</v>
      </c>
      <c r="P1193" s="38">
        <f t="shared" si="2"/>
        <v>0</v>
      </c>
      <c r="Q1193" s="76" t="s">
        <v>56</v>
      </c>
      <c r="R1193" s="76" t="str">
        <f t="shared" si="3"/>
        <v>X</v>
      </c>
      <c r="S1193" s="77"/>
      <c r="T1193" s="34" t="str">
        <f>IF('PL1(Full)'!$N1193&gt;=20,"x",IF(AND('PL1(Full)'!$N1193&gt;=15,'PL1(Full)'!$P1193&gt;60),"x",""))</f>
        <v/>
      </c>
      <c r="U1193" s="34" t="str">
        <f>IF(AND('PL1(Full)'!$H1193="Thôn",'PL1(Full)'!$I1193&lt;75),"x",IF(AND('PL1(Full)'!$H1193="Tổ",'PL1(Full)'!$I1193&lt;100),"x","-"))</f>
        <v>x</v>
      </c>
      <c r="V1193" s="34" t="str">
        <f>IF(AND('PL1(Full)'!$H1193="Thôn",'PL1(Full)'!$I1193&lt;140),"x",IF(AND('PL1(Full)'!$H1193="Tổ",'PL1(Full)'!$I1193&lt;210),"x","-"))</f>
        <v>x</v>
      </c>
      <c r="W1193" s="40" t="str">
        <f t="shared" si="201"/>
        <v>Loại 3</v>
      </c>
      <c r="X1193" s="32"/>
    </row>
    <row r="1194" spans="1:24" ht="15.75" hidden="1" customHeight="1">
      <c r="A1194" s="30">
        <f>_xlfn.AGGREGATE(4,7,A$6:A1193)+1</f>
        <v>889</v>
      </c>
      <c r="B1194" s="31" t="str">
        <f t="shared" ref="B1194:C1194" si="213">B1193</f>
        <v>TP. Bắc Kạn</v>
      </c>
      <c r="C1194" s="66" t="str">
        <f t="shared" si="213"/>
        <v>P. Đức Xuân</v>
      </c>
      <c r="D1194" s="32"/>
      <c r="E1194" s="32" t="s">
        <v>36</v>
      </c>
      <c r="F1194" s="66" t="s">
        <v>1250</v>
      </c>
      <c r="G1194" s="32"/>
      <c r="H1194" s="32" t="str">
        <f>IF(LEFT('PL1(Full)'!$F1194,4)="Thôn","Thôn","Tổ")</f>
        <v>Tổ</v>
      </c>
      <c r="I1194" s="36">
        <v>139</v>
      </c>
      <c r="J1194" s="36">
        <v>515</v>
      </c>
      <c r="K1194" s="36">
        <v>65</v>
      </c>
      <c r="L1194" s="37">
        <f t="shared" si="0"/>
        <v>46.762589928057551</v>
      </c>
      <c r="M1194" s="36">
        <v>2</v>
      </c>
      <c r="N1194" s="38">
        <f t="shared" si="1"/>
        <v>1.4388489208633093</v>
      </c>
      <c r="O1194" s="36">
        <v>0</v>
      </c>
      <c r="P1194" s="38">
        <f t="shared" si="2"/>
        <v>0</v>
      </c>
      <c r="Q1194" s="76" t="s">
        <v>158</v>
      </c>
      <c r="R1194" s="76" t="str">
        <f t="shared" si="3"/>
        <v>X</v>
      </c>
      <c r="S1194" s="77"/>
      <c r="T1194" s="34" t="str">
        <f>IF('PL1(Full)'!$N1194&gt;=20,"x",IF(AND('PL1(Full)'!$N1194&gt;=15,'PL1(Full)'!$P1194&gt;60),"x",""))</f>
        <v/>
      </c>
      <c r="U1194" s="34" t="str">
        <f>IF(AND('PL1(Full)'!$H1194="Thôn",'PL1(Full)'!$I1194&lt;75),"x",IF(AND('PL1(Full)'!$H1194="Tổ",'PL1(Full)'!$I1194&lt;100),"x","-"))</f>
        <v>-</v>
      </c>
      <c r="V1194" s="34" t="str">
        <f>IF(AND('PL1(Full)'!$H1194="Thôn",'PL1(Full)'!$I1194&lt;140),"x",IF(AND('PL1(Full)'!$H1194="Tổ",'PL1(Full)'!$I1194&lt;210),"x","-"))</f>
        <v>x</v>
      </c>
      <c r="W1194" s="40" t="str">
        <f t="shared" si="201"/>
        <v>Loại 3</v>
      </c>
      <c r="X1194" s="34"/>
    </row>
    <row r="1195" spans="1:24" ht="15.75" customHeight="1">
      <c r="A1195" s="30">
        <f>_xlfn.AGGREGATE(4,7,A$6:A1194)+1</f>
        <v>889</v>
      </c>
      <c r="B1195" s="31" t="str">
        <f t="shared" ref="B1195:C1195" si="214">B1194</f>
        <v>TP. Bắc Kạn</v>
      </c>
      <c r="C1195" s="66" t="str">
        <f t="shared" si="214"/>
        <v>P. Đức Xuân</v>
      </c>
      <c r="D1195" s="32"/>
      <c r="E1195" s="32" t="s">
        <v>36</v>
      </c>
      <c r="F1195" s="66" t="s">
        <v>423</v>
      </c>
      <c r="G1195" s="32"/>
      <c r="H1195" s="32" t="str">
        <f>IF(LEFT('PL1(Full)'!$F1195,4)="Thôn","Thôn","Tổ")</f>
        <v>Tổ</v>
      </c>
      <c r="I1195" s="36">
        <v>85</v>
      </c>
      <c r="J1195" s="36">
        <v>251</v>
      </c>
      <c r="K1195" s="36">
        <v>32</v>
      </c>
      <c r="L1195" s="37">
        <f t="shared" si="0"/>
        <v>37.647058823529413</v>
      </c>
      <c r="M1195" s="36">
        <v>1</v>
      </c>
      <c r="N1195" s="38">
        <f t="shared" si="1"/>
        <v>1.1764705882352942</v>
      </c>
      <c r="O1195" s="36">
        <v>0</v>
      </c>
      <c r="P1195" s="38">
        <f t="shared" si="2"/>
        <v>0</v>
      </c>
      <c r="Q1195" s="76" t="s">
        <v>63</v>
      </c>
      <c r="R1195" s="76" t="str">
        <f t="shared" si="3"/>
        <v>X</v>
      </c>
      <c r="S1195" s="77"/>
      <c r="T1195" s="34" t="str">
        <f>IF('PL1(Full)'!$N1195&gt;=20,"x",IF(AND('PL1(Full)'!$N1195&gt;=15,'PL1(Full)'!$P1195&gt;60),"x",""))</f>
        <v/>
      </c>
      <c r="U1195" s="34" t="str">
        <f>IF(AND('PL1(Full)'!$H1195="Thôn",'PL1(Full)'!$I1195&lt;75),"x",IF(AND('PL1(Full)'!$H1195="Tổ",'PL1(Full)'!$I1195&lt;100),"x","-"))</f>
        <v>x</v>
      </c>
      <c r="V1195" s="34" t="str">
        <f>IF(AND('PL1(Full)'!$H1195="Thôn",'PL1(Full)'!$I1195&lt;140),"x",IF(AND('PL1(Full)'!$H1195="Tổ",'PL1(Full)'!$I1195&lt;210),"x","-"))</f>
        <v>x</v>
      </c>
      <c r="W1195" s="40" t="str">
        <f t="shared" si="201"/>
        <v>Loại 3</v>
      </c>
      <c r="X1195" s="34"/>
    </row>
    <row r="1196" spans="1:24" ht="15.75" hidden="1" customHeight="1">
      <c r="A1196" s="30">
        <f>_xlfn.AGGREGATE(4,7,A$6:A1195)+1</f>
        <v>890</v>
      </c>
      <c r="B1196" s="31" t="str">
        <f t="shared" ref="B1196:C1196" si="215">B1195</f>
        <v>TP. Bắc Kạn</v>
      </c>
      <c r="C1196" s="66" t="str">
        <f t="shared" si="215"/>
        <v>P. Đức Xuân</v>
      </c>
      <c r="D1196" s="32"/>
      <c r="E1196" s="32" t="s">
        <v>36</v>
      </c>
      <c r="F1196" s="66" t="s">
        <v>424</v>
      </c>
      <c r="G1196" s="32"/>
      <c r="H1196" s="32" t="str">
        <f>IF(LEFT('PL1(Full)'!$F1196,4)="Thôn","Thôn","Tổ")</f>
        <v>Tổ</v>
      </c>
      <c r="I1196" s="36">
        <v>213</v>
      </c>
      <c r="J1196" s="36">
        <v>729</v>
      </c>
      <c r="K1196" s="36">
        <v>104</v>
      </c>
      <c r="L1196" s="37">
        <f t="shared" si="0"/>
        <v>48.826291079812208</v>
      </c>
      <c r="M1196" s="36">
        <v>4</v>
      </c>
      <c r="N1196" s="38">
        <f t="shared" si="1"/>
        <v>1.8779342723004695</v>
      </c>
      <c r="O1196" s="36">
        <v>2</v>
      </c>
      <c r="P1196" s="38">
        <f t="shared" si="2"/>
        <v>50</v>
      </c>
      <c r="Q1196" s="76" t="s">
        <v>56</v>
      </c>
      <c r="R1196" s="76" t="str">
        <f t="shared" si="3"/>
        <v>X</v>
      </c>
      <c r="S1196" s="77"/>
      <c r="T1196" s="34" t="str">
        <f>IF('PL1(Full)'!$N1196&gt;=20,"x",IF(AND('PL1(Full)'!$N1196&gt;=15,'PL1(Full)'!$P1196&gt;60),"x",""))</f>
        <v/>
      </c>
      <c r="U1196" s="34" t="str">
        <f>IF(AND('PL1(Full)'!$H1196="Thôn",'PL1(Full)'!$I1196&lt;75),"x",IF(AND('PL1(Full)'!$H1196="Tổ",'PL1(Full)'!$I1196&lt;100),"x","-"))</f>
        <v>-</v>
      </c>
      <c r="V1196" s="34" t="str">
        <f>IF(AND('PL1(Full)'!$H1196="Thôn",'PL1(Full)'!$I1196&lt;140),"x",IF(AND('PL1(Full)'!$H1196="Tổ",'PL1(Full)'!$I1196&lt;210),"x","-"))</f>
        <v>-</v>
      </c>
      <c r="W1196" s="40" t="str">
        <f t="shared" si="201"/>
        <v>Loại 1</v>
      </c>
      <c r="X1196" s="34"/>
    </row>
    <row r="1197" spans="1:24" ht="15.75" hidden="1" customHeight="1">
      <c r="A1197" s="30">
        <f>_xlfn.AGGREGATE(4,7,A$6:A1196)+1</f>
        <v>890</v>
      </c>
      <c r="B1197" s="31" t="str">
        <f t="shared" ref="B1197:C1197" si="216">B1196</f>
        <v>TP. Bắc Kạn</v>
      </c>
      <c r="C1197" s="66" t="str">
        <f t="shared" si="216"/>
        <v>P. Đức Xuân</v>
      </c>
      <c r="D1197" s="32"/>
      <c r="E1197" s="32" t="s">
        <v>36</v>
      </c>
      <c r="F1197" s="66" t="s">
        <v>1251</v>
      </c>
      <c r="G1197" s="32"/>
      <c r="H1197" s="32" t="str">
        <f>IF(LEFT('PL1(Full)'!$F1197,4)="Thôn","Thôn","Tổ")</f>
        <v>Tổ</v>
      </c>
      <c r="I1197" s="36">
        <v>213</v>
      </c>
      <c r="J1197" s="36">
        <v>780</v>
      </c>
      <c r="K1197" s="36">
        <v>100</v>
      </c>
      <c r="L1197" s="37">
        <f t="shared" si="0"/>
        <v>46.948356807511736</v>
      </c>
      <c r="M1197" s="36">
        <v>0</v>
      </c>
      <c r="N1197" s="38">
        <f t="shared" si="1"/>
        <v>0</v>
      </c>
      <c r="O1197" s="36">
        <v>0</v>
      </c>
      <c r="P1197" s="38">
        <f t="shared" si="2"/>
        <v>0</v>
      </c>
      <c r="Q1197" s="76" t="s">
        <v>43</v>
      </c>
      <c r="R1197" s="76" t="str">
        <f t="shared" si="3"/>
        <v>X</v>
      </c>
      <c r="S1197" s="77"/>
      <c r="T1197" s="34" t="str">
        <f>IF('PL1(Full)'!$N1197&gt;=20,"x",IF(AND('PL1(Full)'!$N1197&gt;=15,'PL1(Full)'!$P1197&gt;60),"x",""))</f>
        <v/>
      </c>
      <c r="U1197" s="34" t="str">
        <f>IF(AND('PL1(Full)'!$H1197="Thôn",'PL1(Full)'!$I1197&lt;75),"x",IF(AND('PL1(Full)'!$H1197="Tổ",'PL1(Full)'!$I1197&lt;100),"x","-"))</f>
        <v>-</v>
      </c>
      <c r="V1197" s="34" t="str">
        <f>IF(AND('PL1(Full)'!$H1197="Thôn",'PL1(Full)'!$I1197&lt;140),"x",IF(AND('PL1(Full)'!$H1197="Tổ",'PL1(Full)'!$I1197&lt;210),"x","-"))</f>
        <v>-</v>
      </c>
      <c r="W1197" s="40" t="str">
        <f t="shared" si="201"/>
        <v>Loại 1</v>
      </c>
      <c r="X1197" s="34"/>
    </row>
    <row r="1198" spans="1:24" ht="15.75" customHeight="1">
      <c r="A1198" s="30">
        <f>_xlfn.AGGREGATE(4,7,A$6:A1197)+1</f>
        <v>890</v>
      </c>
      <c r="B1198" s="31" t="str">
        <f t="shared" ref="B1198:C1198" si="217">B1197</f>
        <v>TP. Bắc Kạn</v>
      </c>
      <c r="C1198" s="66" t="str">
        <f t="shared" si="217"/>
        <v>P. Đức Xuân</v>
      </c>
      <c r="D1198" s="32"/>
      <c r="E1198" s="32" t="s">
        <v>36</v>
      </c>
      <c r="F1198" s="66" t="s">
        <v>425</v>
      </c>
      <c r="G1198" s="32"/>
      <c r="H1198" s="32" t="str">
        <f>IF(LEFT('PL1(Full)'!$F1198,4)="Thôn","Thôn","Tổ")</f>
        <v>Tổ</v>
      </c>
      <c r="I1198" s="36">
        <v>46</v>
      </c>
      <c r="J1198" s="36">
        <v>483</v>
      </c>
      <c r="K1198" s="36">
        <v>42</v>
      </c>
      <c r="L1198" s="37">
        <f t="shared" si="0"/>
        <v>91.304347826086953</v>
      </c>
      <c r="M1198" s="36">
        <v>4</v>
      </c>
      <c r="N1198" s="38">
        <f t="shared" si="1"/>
        <v>8.695652173913043</v>
      </c>
      <c r="O1198" s="36">
        <v>3</v>
      </c>
      <c r="P1198" s="38">
        <f t="shared" si="2"/>
        <v>75</v>
      </c>
      <c r="Q1198" s="76" t="s">
        <v>49</v>
      </c>
      <c r="R1198" s="76" t="str">
        <f t="shared" si="3"/>
        <v>X</v>
      </c>
      <c r="S1198" s="77"/>
      <c r="T1198" s="34" t="str">
        <f>IF('PL1(Full)'!$N1198&gt;=20,"x",IF(AND('PL1(Full)'!$N1198&gt;=15,'PL1(Full)'!$P1198&gt;60),"x",""))</f>
        <v/>
      </c>
      <c r="U1198" s="34" t="str">
        <f>IF(AND('PL1(Full)'!$H1198="Thôn",'PL1(Full)'!$I1198&lt;75),"x",IF(AND('PL1(Full)'!$H1198="Tổ",'PL1(Full)'!$I1198&lt;100),"x","-"))</f>
        <v>x</v>
      </c>
      <c r="V1198" s="34" t="str">
        <f>IF(AND('PL1(Full)'!$H1198="Thôn",'PL1(Full)'!$I1198&lt;140),"x",IF(AND('PL1(Full)'!$H1198="Tổ",'PL1(Full)'!$I1198&lt;210),"x","-"))</f>
        <v>x</v>
      </c>
      <c r="W1198" s="40" t="str">
        <f t="shared" si="201"/>
        <v>Loại 3</v>
      </c>
      <c r="X1198" s="34"/>
    </row>
    <row r="1199" spans="1:24" ht="15.75" hidden="1" customHeight="1">
      <c r="A1199" s="41">
        <f>_xlfn.AGGREGATE(4,7,A$6:A1198)+1</f>
        <v>891</v>
      </c>
      <c r="B1199" s="42" t="str">
        <f t="shared" ref="B1199:C1199" si="218">B1198</f>
        <v>TP. Bắc Kạn</v>
      </c>
      <c r="C1199" s="67" t="str">
        <f t="shared" si="218"/>
        <v>P. Đức Xuân</v>
      </c>
      <c r="D1199" s="43"/>
      <c r="E1199" s="43" t="s">
        <v>36</v>
      </c>
      <c r="F1199" s="67" t="s">
        <v>426</v>
      </c>
      <c r="G1199" s="43"/>
      <c r="H1199" s="43" t="str">
        <f>IF(LEFT('PL1(Full)'!$F1199,4)="Thôn","Thôn","Tổ")</f>
        <v>Tổ</v>
      </c>
      <c r="I1199" s="46">
        <v>176</v>
      </c>
      <c r="J1199" s="46">
        <v>715</v>
      </c>
      <c r="K1199" s="46">
        <v>95</v>
      </c>
      <c r="L1199" s="47">
        <f t="shared" si="0"/>
        <v>53.977272727272727</v>
      </c>
      <c r="M1199" s="46">
        <v>0</v>
      </c>
      <c r="N1199" s="48">
        <f t="shared" si="1"/>
        <v>0</v>
      </c>
      <c r="O1199" s="46">
        <v>0</v>
      </c>
      <c r="P1199" s="48">
        <f t="shared" si="2"/>
        <v>0</v>
      </c>
      <c r="Q1199" s="78" t="s">
        <v>47</v>
      </c>
      <c r="R1199" s="78" t="str">
        <f t="shared" si="3"/>
        <v>X</v>
      </c>
      <c r="S1199" s="79"/>
      <c r="T1199" s="50"/>
      <c r="U1199" s="50" t="str">
        <f>IF(AND('PL1(Full)'!$H1199="Thôn",'PL1(Full)'!$I1199&lt;75),"x",IF(AND('PL1(Full)'!$H1199="Tổ",'PL1(Full)'!$I1199&lt;100),"x","-"))</f>
        <v>-</v>
      </c>
      <c r="V1199" s="34" t="str">
        <f>IF(AND('PL1(Full)'!$H1199="Thôn",'PL1(Full)'!$I1199&lt;140),"x",IF(AND('PL1(Full)'!$H1199="Tổ",'PL1(Full)'!$I1199&lt;210),"x","-"))</f>
        <v>x</v>
      </c>
      <c r="W1199" s="51" t="str">
        <f t="shared" si="201"/>
        <v>Loại 2</v>
      </c>
      <c r="X1199" s="50"/>
    </row>
    <row r="1200" spans="1:24" ht="15.75" customHeight="1">
      <c r="A1200" s="52">
        <f>_xlfn.AGGREGATE(4,7,A$6:A1199)+1</f>
        <v>891</v>
      </c>
      <c r="B1200" s="14" t="str">
        <f t="shared" ref="B1200:B1298" si="219">B1199</f>
        <v>TP. Bắc Kạn</v>
      </c>
      <c r="C1200" s="14" t="s">
        <v>1252</v>
      </c>
      <c r="D1200" s="25" t="s">
        <v>36</v>
      </c>
      <c r="E1200" s="25" t="s">
        <v>36</v>
      </c>
      <c r="F1200" s="53" t="s">
        <v>1253</v>
      </c>
      <c r="G1200" s="25"/>
      <c r="H1200" s="25" t="str">
        <f>IF(LEFT('PL1(Full)'!$F1200,4)="Thôn","Thôn","Tổ")</f>
        <v>Tổ</v>
      </c>
      <c r="I1200" s="20">
        <v>72</v>
      </c>
      <c r="J1200" s="20">
        <v>291</v>
      </c>
      <c r="K1200" s="20">
        <v>53</v>
      </c>
      <c r="L1200" s="21">
        <f t="shared" si="0"/>
        <v>73.611111111111114</v>
      </c>
      <c r="M1200" s="19">
        <v>3</v>
      </c>
      <c r="N1200" s="22">
        <f t="shared" si="1"/>
        <v>4.166666666666667</v>
      </c>
      <c r="O1200" s="20">
        <v>3</v>
      </c>
      <c r="P1200" s="22">
        <f t="shared" si="2"/>
        <v>100</v>
      </c>
      <c r="Q1200" s="23" t="s">
        <v>300</v>
      </c>
      <c r="R1200" s="24" t="str">
        <f t="shared" si="3"/>
        <v>T</v>
      </c>
      <c r="S1200" s="25"/>
      <c r="T1200" s="26" t="str">
        <f>IF('PL1(Full)'!$N1200&gt;=20,"x",IF(AND('PL1(Full)'!$N1200&gt;=15,'PL1(Full)'!$P1200&gt;60),"x",""))</f>
        <v/>
      </c>
      <c r="U1200" s="27" t="str">
        <f>IF(AND('PL1(Full)'!$H1200="Thôn",'PL1(Full)'!$I1200&lt;75),"x",IF(AND('PL1(Full)'!$H1200="Tổ",'PL1(Full)'!$I1200&lt;100),"x","-"))</f>
        <v>x</v>
      </c>
      <c r="V1200" s="28" t="str">
        <f>IF(AND('PL1(Full)'!$H1200="Thôn",'PL1(Full)'!$I1200&lt;140),"x",IF(AND('PL1(Full)'!$H1200="Tổ",'PL1(Full)'!$I1200&lt;210),"x","-"))</f>
        <v>x</v>
      </c>
      <c r="W1200" s="29" t="str">
        <f t="shared" si="201"/>
        <v>Loại 3</v>
      </c>
      <c r="X1200" s="25"/>
    </row>
    <row r="1201" spans="1:24" ht="15.75" customHeight="1">
      <c r="A1201" s="30">
        <f>_xlfn.AGGREGATE(4,7,A$6:A1200)+1</f>
        <v>892</v>
      </c>
      <c r="B1201" s="31" t="str">
        <f t="shared" si="219"/>
        <v>TP. Bắc Kạn</v>
      </c>
      <c r="C1201" s="66" t="str">
        <f t="shared" ref="C1201:C1217" si="220">C1200</f>
        <v>P. Huyền Tụng</v>
      </c>
      <c r="D1201" s="34"/>
      <c r="E1201" s="34" t="s">
        <v>36</v>
      </c>
      <c r="F1201" s="54" t="s">
        <v>1254</v>
      </c>
      <c r="G1201" s="34" t="s">
        <v>40</v>
      </c>
      <c r="H1201" s="34" t="str">
        <f>IF(LEFT('PL1(Full)'!$F1201,4)="Thôn","Thôn","Tổ")</f>
        <v>Tổ</v>
      </c>
      <c r="I1201" s="36">
        <v>80</v>
      </c>
      <c r="J1201" s="36">
        <v>334</v>
      </c>
      <c r="K1201" s="36">
        <v>76</v>
      </c>
      <c r="L1201" s="37">
        <f t="shared" si="0"/>
        <v>95</v>
      </c>
      <c r="M1201" s="35">
        <v>4</v>
      </c>
      <c r="N1201" s="38">
        <f t="shared" si="1"/>
        <v>5</v>
      </c>
      <c r="O1201" s="36">
        <v>3</v>
      </c>
      <c r="P1201" s="38">
        <f t="shared" si="2"/>
        <v>75</v>
      </c>
      <c r="Q1201" s="39" t="s">
        <v>56</v>
      </c>
      <c r="R1201" s="39" t="str">
        <f t="shared" si="3"/>
        <v>X</v>
      </c>
      <c r="S1201" s="34"/>
      <c r="T1201" s="34" t="str">
        <f>IF('PL1(Full)'!$N1201&gt;=20,"x",IF(AND('PL1(Full)'!$N1201&gt;=15,'PL1(Full)'!$P1201&gt;60),"x",""))</f>
        <v/>
      </c>
      <c r="U1201" s="34" t="str">
        <f>IF(AND('PL1(Full)'!$H1201="Thôn",'PL1(Full)'!$I1201&lt;75),"x",IF(AND('PL1(Full)'!$H1201="Tổ",'PL1(Full)'!$I1201&lt;100),"x","-"))</f>
        <v>x</v>
      </c>
      <c r="V1201" s="34" t="str">
        <f>IF(AND('PL1(Full)'!$H1201="Thôn",'PL1(Full)'!$I1201&lt;140),"x",IF(AND('PL1(Full)'!$H1201="Tổ",'PL1(Full)'!$I1201&lt;210),"x","-"))</f>
        <v>x</v>
      </c>
      <c r="W1201" s="40" t="str">
        <f t="shared" si="201"/>
        <v>Loại 3</v>
      </c>
      <c r="X1201" s="34"/>
    </row>
    <row r="1202" spans="1:24" ht="15.75" customHeight="1">
      <c r="A1202" s="30">
        <f>_xlfn.AGGREGATE(4,7,A$6:A1201)+1</f>
        <v>893</v>
      </c>
      <c r="B1202" s="31" t="str">
        <f t="shared" si="219"/>
        <v>TP. Bắc Kạn</v>
      </c>
      <c r="C1202" s="66" t="str">
        <f t="shared" si="220"/>
        <v>P. Huyền Tụng</v>
      </c>
      <c r="D1202" s="34"/>
      <c r="E1202" s="34" t="s">
        <v>36</v>
      </c>
      <c r="F1202" s="54" t="s">
        <v>1255</v>
      </c>
      <c r="G1202" s="34"/>
      <c r="H1202" s="34" t="str">
        <f>IF(LEFT('PL1(Full)'!$F1202,4)="Thôn","Thôn","Tổ")</f>
        <v>Tổ</v>
      </c>
      <c r="I1202" s="36">
        <v>86</v>
      </c>
      <c r="J1202" s="36">
        <v>349</v>
      </c>
      <c r="K1202" s="36">
        <v>70</v>
      </c>
      <c r="L1202" s="37">
        <f t="shared" si="0"/>
        <v>81.395348837209298</v>
      </c>
      <c r="M1202" s="35">
        <v>6</v>
      </c>
      <c r="N1202" s="38">
        <f t="shared" si="1"/>
        <v>6.9767441860465116</v>
      </c>
      <c r="O1202" s="36">
        <v>6</v>
      </c>
      <c r="P1202" s="38">
        <f t="shared" si="2"/>
        <v>100</v>
      </c>
      <c r="Q1202" s="39" t="s">
        <v>56</v>
      </c>
      <c r="R1202" s="39" t="str">
        <f t="shared" si="3"/>
        <v>X</v>
      </c>
      <c r="S1202" s="34"/>
      <c r="T1202" s="34" t="str">
        <f>IF('PL1(Full)'!$N1202&gt;=20,"x",IF(AND('PL1(Full)'!$N1202&gt;=15,'PL1(Full)'!$P1202&gt;60),"x",""))</f>
        <v/>
      </c>
      <c r="U1202" s="34" t="str">
        <f>IF(AND('PL1(Full)'!$H1202="Thôn",'PL1(Full)'!$I1202&lt;75),"x",IF(AND('PL1(Full)'!$H1202="Tổ",'PL1(Full)'!$I1202&lt;100),"x","-"))</f>
        <v>x</v>
      </c>
      <c r="V1202" s="34" t="str">
        <f>IF(AND('PL1(Full)'!$H1202="Thôn",'PL1(Full)'!$I1202&lt;140),"x",IF(AND('PL1(Full)'!$H1202="Tổ",'PL1(Full)'!$I1202&lt;210),"x","-"))</f>
        <v>x</v>
      </c>
      <c r="W1202" s="40" t="str">
        <f t="shared" si="201"/>
        <v>Loại 3</v>
      </c>
      <c r="X1202" s="34"/>
    </row>
    <row r="1203" spans="1:24" ht="15.75" hidden="1" customHeight="1">
      <c r="A1203" s="30">
        <f>_xlfn.AGGREGATE(4,7,A$6:A1202)+1</f>
        <v>894</v>
      </c>
      <c r="B1203" s="31" t="str">
        <f t="shared" si="219"/>
        <v>TP. Bắc Kạn</v>
      </c>
      <c r="C1203" s="66" t="str">
        <f t="shared" si="220"/>
        <v>P. Huyền Tụng</v>
      </c>
      <c r="D1203" s="151"/>
      <c r="E1203" s="151" t="s">
        <v>36</v>
      </c>
      <c r="F1203" s="152" t="s">
        <v>1256</v>
      </c>
      <c r="G1203" s="34" t="s">
        <v>40</v>
      </c>
      <c r="H1203" s="151" t="str">
        <f>IF(LEFT('PL1(Full)'!$F1203,4)="Thôn","Thôn","Tổ")</f>
        <v>Tổ</v>
      </c>
      <c r="I1203" s="36">
        <v>108</v>
      </c>
      <c r="J1203" s="36">
        <v>331</v>
      </c>
      <c r="K1203" s="36">
        <v>98</v>
      </c>
      <c r="L1203" s="37">
        <f t="shared" si="0"/>
        <v>90.740740740740748</v>
      </c>
      <c r="M1203" s="35">
        <v>8</v>
      </c>
      <c r="N1203" s="38">
        <f t="shared" si="1"/>
        <v>7.4074074074074074</v>
      </c>
      <c r="O1203" s="35">
        <v>7</v>
      </c>
      <c r="P1203" s="38">
        <f t="shared" si="2"/>
        <v>87.5</v>
      </c>
      <c r="Q1203" s="39" t="s">
        <v>56</v>
      </c>
      <c r="R1203" s="39" t="str">
        <f t="shared" si="3"/>
        <v>X</v>
      </c>
      <c r="S1203" s="34"/>
      <c r="T1203" s="34" t="str">
        <f>IF('PL1(Full)'!$N1203&gt;=20,"x",IF(AND('PL1(Full)'!$N1203&gt;=15,'PL1(Full)'!$P1203&gt;60),"x",""))</f>
        <v/>
      </c>
      <c r="U1203" s="34" t="str">
        <f>IF(AND('PL1(Full)'!$H1203="Thôn",'PL1(Full)'!$I1203&lt;75),"x",IF(AND('PL1(Full)'!$H1203="Tổ",'PL1(Full)'!$I1203&lt;100),"x","-"))</f>
        <v>-</v>
      </c>
      <c r="V1203" s="34" t="str">
        <f>IF(AND('PL1(Full)'!$H1203="Thôn",'PL1(Full)'!$I1203&lt;140),"x",IF(AND('PL1(Full)'!$H1203="Tổ",'PL1(Full)'!$I1203&lt;210),"x","-"))</f>
        <v>x</v>
      </c>
      <c r="W1203" s="40" t="str">
        <f t="shared" si="201"/>
        <v>Loại 3</v>
      </c>
      <c r="X1203" s="34"/>
    </row>
    <row r="1204" spans="1:24" ht="15.75" customHeight="1">
      <c r="A1204" s="30">
        <f>_xlfn.AGGREGATE(4,7,A$6:A1203)+1</f>
        <v>894</v>
      </c>
      <c r="B1204" s="31" t="str">
        <f t="shared" si="219"/>
        <v>TP. Bắc Kạn</v>
      </c>
      <c r="C1204" s="66" t="str">
        <f t="shared" si="220"/>
        <v>P. Huyền Tụng</v>
      </c>
      <c r="D1204" s="34"/>
      <c r="E1204" s="34" t="s">
        <v>36</v>
      </c>
      <c r="F1204" s="54" t="s">
        <v>1257</v>
      </c>
      <c r="G1204" s="34"/>
      <c r="H1204" s="34" t="str">
        <f>IF(LEFT('PL1(Full)'!$F1204,4)="Thôn","Thôn","Tổ")</f>
        <v>Tổ</v>
      </c>
      <c r="I1204" s="36">
        <v>88</v>
      </c>
      <c r="J1204" s="36">
        <v>382</v>
      </c>
      <c r="K1204" s="36">
        <v>39</v>
      </c>
      <c r="L1204" s="37">
        <f t="shared" si="0"/>
        <v>44.31818181818182</v>
      </c>
      <c r="M1204" s="35">
        <v>2</v>
      </c>
      <c r="N1204" s="38">
        <f t="shared" si="1"/>
        <v>2.2727272727272729</v>
      </c>
      <c r="O1204" s="35">
        <v>0</v>
      </c>
      <c r="P1204" s="38">
        <f t="shared" si="2"/>
        <v>0</v>
      </c>
      <c r="Q1204" s="39" t="s">
        <v>1258</v>
      </c>
      <c r="R1204" s="39" t="str">
        <f t="shared" si="3"/>
        <v>X</v>
      </c>
      <c r="S1204" s="34"/>
      <c r="T1204" s="34" t="str">
        <f>IF('PL1(Full)'!$N1204&gt;=20,"x",IF(AND('PL1(Full)'!$N1204&gt;=15,'PL1(Full)'!$P1204&gt;60),"x",""))</f>
        <v/>
      </c>
      <c r="U1204" s="34" t="str">
        <f>IF(AND('PL1(Full)'!$H1204="Thôn",'PL1(Full)'!$I1204&lt;75),"x",IF(AND('PL1(Full)'!$H1204="Tổ",'PL1(Full)'!$I1204&lt;100),"x","-"))</f>
        <v>x</v>
      </c>
      <c r="V1204" s="34" t="str">
        <f>IF(AND('PL1(Full)'!$H1204="Thôn",'PL1(Full)'!$I1204&lt;140),"x",IF(AND('PL1(Full)'!$H1204="Tổ",'PL1(Full)'!$I1204&lt;210),"x","-"))</f>
        <v>x</v>
      </c>
      <c r="W1204" s="40" t="str">
        <f t="shared" si="201"/>
        <v>Loại 3</v>
      </c>
      <c r="X1204" s="34"/>
    </row>
    <row r="1205" spans="1:24" ht="15.75" customHeight="1">
      <c r="A1205" s="30">
        <f>_xlfn.AGGREGATE(4,7,A$6:A1204)+1</f>
        <v>895</v>
      </c>
      <c r="B1205" s="31" t="str">
        <f t="shared" si="219"/>
        <v>TP. Bắc Kạn</v>
      </c>
      <c r="C1205" s="66" t="str">
        <f t="shared" si="220"/>
        <v>P. Huyền Tụng</v>
      </c>
      <c r="D1205" s="151"/>
      <c r="E1205" s="151" t="s">
        <v>36</v>
      </c>
      <c r="F1205" s="152" t="s">
        <v>1259</v>
      </c>
      <c r="G1205" s="151"/>
      <c r="H1205" s="151" t="str">
        <f>IF(LEFT('PL1(Full)'!$F1205,4)="Thôn","Thôn","Tổ")</f>
        <v>Tổ</v>
      </c>
      <c r="I1205" s="36">
        <v>51</v>
      </c>
      <c r="J1205" s="36">
        <v>194</v>
      </c>
      <c r="K1205" s="36">
        <v>46</v>
      </c>
      <c r="L1205" s="37">
        <f t="shared" si="0"/>
        <v>90.196078431372555</v>
      </c>
      <c r="M1205" s="35">
        <v>2</v>
      </c>
      <c r="N1205" s="38">
        <f t="shared" si="1"/>
        <v>3.9215686274509802</v>
      </c>
      <c r="O1205" s="36">
        <v>2</v>
      </c>
      <c r="P1205" s="38">
        <f t="shared" si="2"/>
        <v>100</v>
      </c>
      <c r="Q1205" s="39" t="s">
        <v>56</v>
      </c>
      <c r="R1205" s="39" t="str">
        <f t="shared" si="3"/>
        <v>X</v>
      </c>
      <c r="S1205" s="34"/>
      <c r="T1205" s="34" t="str">
        <f>IF('PL1(Full)'!$N1205&gt;=20,"x",IF(AND('PL1(Full)'!$N1205&gt;=15,'PL1(Full)'!$P1205&gt;60),"x",""))</f>
        <v/>
      </c>
      <c r="U1205" s="34" t="str">
        <f>IF(AND('PL1(Full)'!$H1205="Thôn",'PL1(Full)'!$I1205&lt;75),"x",IF(AND('PL1(Full)'!$H1205="Tổ",'PL1(Full)'!$I1205&lt;100),"x","-"))</f>
        <v>x</v>
      </c>
      <c r="V1205" s="34" t="str">
        <f>IF(AND('PL1(Full)'!$H1205="Thôn",'PL1(Full)'!$I1205&lt;140),"x",IF(AND('PL1(Full)'!$H1205="Tổ",'PL1(Full)'!$I1205&lt;210),"x","-"))</f>
        <v>x</v>
      </c>
      <c r="W1205" s="40" t="str">
        <f t="shared" si="201"/>
        <v>Loại 3</v>
      </c>
      <c r="X1205" s="34"/>
    </row>
    <row r="1206" spans="1:24" ht="15.75" customHeight="1">
      <c r="A1206" s="30">
        <f>_xlfn.AGGREGATE(4,7,A$6:A1205)+1</f>
        <v>896</v>
      </c>
      <c r="B1206" s="31" t="str">
        <f t="shared" si="219"/>
        <v>TP. Bắc Kạn</v>
      </c>
      <c r="C1206" s="66" t="str">
        <f t="shared" si="220"/>
        <v>P. Huyền Tụng</v>
      </c>
      <c r="D1206" s="151"/>
      <c r="E1206" s="151" t="s">
        <v>36</v>
      </c>
      <c r="F1206" s="152" t="s">
        <v>1260</v>
      </c>
      <c r="G1206" s="151"/>
      <c r="H1206" s="151" t="str">
        <f>IF(LEFT('PL1(Full)'!$F1206,4)="Thôn","Thôn","Tổ")</f>
        <v>Tổ</v>
      </c>
      <c r="I1206" s="36">
        <v>76</v>
      </c>
      <c r="J1206" s="36">
        <v>173</v>
      </c>
      <c r="K1206" s="36">
        <v>42</v>
      </c>
      <c r="L1206" s="37">
        <f t="shared" si="0"/>
        <v>55.263157894736842</v>
      </c>
      <c r="M1206" s="35">
        <v>6</v>
      </c>
      <c r="N1206" s="38">
        <f t="shared" si="1"/>
        <v>7.8947368421052628</v>
      </c>
      <c r="O1206" s="35">
        <v>1</v>
      </c>
      <c r="P1206" s="38">
        <f t="shared" si="2"/>
        <v>16.666666666666668</v>
      </c>
      <c r="Q1206" s="39" t="s">
        <v>300</v>
      </c>
      <c r="R1206" s="39" t="str">
        <f t="shared" si="3"/>
        <v>T</v>
      </c>
      <c r="S1206" s="34"/>
      <c r="T1206" s="34" t="str">
        <f>IF('PL1(Full)'!$N1206&gt;=20,"x",IF(AND('PL1(Full)'!$N1206&gt;=15,'PL1(Full)'!$P1206&gt;60),"x",""))</f>
        <v/>
      </c>
      <c r="U1206" s="34" t="str">
        <f>IF(AND('PL1(Full)'!$H1206="Thôn",'PL1(Full)'!$I1206&lt;75),"x",IF(AND('PL1(Full)'!$H1206="Tổ",'PL1(Full)'!$I1206&lt;100),"x","-"))</f>
        <v>x</v>
      </c>
      <c r="V1206" s="34" t="str">
        <f>IF(AND('PL1(Full)'!$H1206="Thôn",'PL1(Full)'!$I1206&lt;140),"x",IF(AND('PL1(Full)'!$H1206="Tổ",'PL1(Full)'!$I1206&lt;210),"x","-"))</f>
        <v>x</v>
      </c>
      <c r="W1206" s="40" t="str">
        <f t="shared" si="201"/>
        <v>Loại 3</v>
      </c>
      <c r="X1206" s="34"/>
    </row>
    <row r="1207" spans="1:24" ht="15.75" customHeight="1">
      <c r="A1207" s="30">
        <f>_xlfn.AGGREGATE(4,7,A$6:A1206)+1</f>
        <v>897</v>
      </c>
      <c r="B1207" s="31" t="str">
        <f t="shared" si="219"/>
        <v>TP. Bắc Kạn</v>
      </c>
      <c r="C1207" s="66" t="str">
        <f t="shared" si="220"/>
        <v>P. Huyền Tụng</v>
      </c>
      <c r="D1207" s="151"/>
      <c r="E1207" s="151" t="s">
        <v>36</v>
      </c>
      <c r="F1207" s="152" t="s">
        <v>1261</v>
      </c>
      <c r="G1207" s="151"/>
      <c r="H1207" s="151" t="str">
        <f>IF(LEFT('PL1(Full)'!$F1207,4)="Thôn","Thôn","Tổ")</f>
        <v>Tổ</v>
      </c>
      <c r="I1207" s="36">
        <v>48</v>
      </c>
      <c r="J1207" s="36">
        <v>184</v>
      </c>
      <c r="K1207" s="36">
        <v>18</v>
      </c>
      <c r="L1207" s="37">
        <f t="shared" si="0"/>
        <v>37.5</v>
      </c>
      <c r="M1207" s="35">
        <v>3</v>
      </c>
      <c r="N1207" s="38">
        <f t="shared" si="1"/>
        <v>6.25</v>
      </c>
      <c r="O1207" s="36">
        <v>1</v>
      </c>
      <c r="P1207" s="38">
        <f t="shared" si="2"/>
        <v>33.333333333333336</v>
      </c>
      <c r="Q1207" s="39" t="s">
        <v>56</v>
      </c>
      <c r="R1207" s="39" t="str">
        <f t="shared" si="3"/>
        <v>X</v>
      </c>
      <c r="S1207" s="34"/>
      <c r="T1207" s="34" t="str">
        <f>IF('PL1(Full)'!$N1207&gt;=20,"x",IF(AND('PL1(Full)'!$N1207&gt;=15,'PL1(Full)'!$P1207&gt;60),"x",""))</f>
        <v/>
      </c>
      <c r="U1207" s="34" t="str">
        <f>IF(AND('PL1(Full)'!$H1207="Thôn",'PL1(Full)'!$I1207&lt;75),"x",IF(AND('PL1(Full)'!$H1207="Tổ",'PL1(Full)'!$I1207&lt;100),"x","-"))</f>
        <v>x</v>
      </c>
      <c r="V1207" s="34" t="str">
        <f>IF(AND('PL1(Full)'!$H1207="Thôn",'PL1(Full)'!$I1207&lt;140),"x",IF(AND('PL1(Full)'!$H1207="Tổ",'PL1(Full)'!$I1207&lt;210),"x","-"))</f>
        <v>x</v>
      </c>
      <c r="W1207" s="40" t="str">
        <f t="shared" si="201"/>
        <v>Loại 3</v>
      </c>
      <c r="X1207" s="34"/>
    </row>
    <row r="1208" spans="1:24" ht="15.75" customHeight="1">
      <c r="A1208" s="30">
        <f>_xlfn.AGGREGATE(4,7,A$6:A1207)+1</f>
        <v>898</v>
      </c>
      <c r="B1208" s="31" t="str">
        <f t="shared" si="219"/>
        <v>TP. Bắc Kạn</v>
      </c>
      <c r="C1208" s="66" t="str">
        <f t="shared" si="220"/>
        <v>P. Huyền Tụng</v>
      </c>
      <c r="D1208" s="151"/>
      <c r="E1208" s="151" t="s">
        <v>36</v>
      </c>
      <c r="F1208" s="152" t="s">
        <v>1262</v>
      </c>
      <c r="G1208" s="151"/>
      <c r="H1208" s="151" t="str">
        <f>IF(LEFT('PL1(Full)'!$F1208,4)="Thôn","Thôn","Tổ")</f>
        <v>Tổ</v>
      </c>
      <c r="I1208" s="36">
        <v>33</v>
      </c>
      <c r="J1208" s="36">
        <v>122</v>
      </c>
      <c r="K1208" s="36">
        <v>32</v>
      </c>
      <c r="L1208" s="37">
        <f t="shared" si="0"/>
        <v>96.969696969696969</v>
      </c>
      <c r="M1208" s="35">
        <v>9</v>
      </c>
      <c r="N1208" s="38">
        <f t="shared" si="1"/>
        <v>27.272727272727273</v>
      </c>
      <c r="O1208" s="36">
        <v>9</v>
      </c>
      <c r="P1208" s="38">
        <f t="shared" si="2"/>
        <v>100</v>
      </c>
      <c r="Q1208" s="39" t="s">
        <v>56</v>
      </c>
      <c r="R1208" s="39" t="str">
        <f t="shared" si="3"/>
        <v>X</v>
      </c>
      <c r="S1208" s="34" t="s">
        <v>60</v>
      </c>
      <c r="T1208" s="34" t="str">
        <f>IF('PL1(Full)'!$N1208&gt;=20,"x",IF(AND('PL1(Full)'!$N1208&gt;=15,'PL1(Full)'!$P1208&gt;60),"x",""))</f>
        <v>x</v>
      </c>
      <c r="U1208" s="34" t="str">
        <f>IF(AND('PL1(Full)'!$H1208="Thôn",'PL1(Full)'!$I1208&lt;75),"x",IF(AND('PL1(Full)'!$H1208="Tổ",'PL1(Full)'!$I1208&lt;100),"x","-"))</f>
        <v>x</v>
      </c>
      <c r="V1208" s="34" t="str">
        <f>IF(AND('PL1(Full)'!$H1208="Thôn",'PL1(Full)'!$I1208&lt;140),"x",IF(AND('PL1(Full)'!$H1208="Tổ",'PL1(Full)'!$I1208&lt;210),"x","-"))</f>
        <v>x</v>
      </c>
      <c r="W1208" s="40" t="str">
        <f t="shared" si="201"/>
        <v>Loại 3</v>
      </c>
      <c r="X1208" s="34"/>
    </row>
    <row r="1209" spans="1:24" ht="15.75" hidden="1" customHeight="1">
      <c r="A1209" s="30">
        <f>_xlfn.AGGREGATE(4,7,A$6:A1208)+1</f>
        <v>899</v>
      </c>
      <c r="B1209" s="31" t="str">
        <f t="shared" si="219"/>
        <v>TP. Bắc Kạn</v>
      </c>
      <c r="C1209" s="66" t="str">
        <f t="shared" si="220"/>
        <v>P. Huyền Tụng</v>
      </c>
      <c r="D1209" s="151"/>
      <c r="E1209" s="151" t="s">
        <v>36</v>
      </c>
      <c r="F1209" s="152" t="s">
        <v>1263</v>
      </c>
      <c r="G1209" s="151"/>
      <c r="H1209" s="151" t="str">
        <f>IF(LEFT('PL1(Full)'!$F1209,4)="Thôn","Thôn","Tổ")</f>
        <v>Tổ</v>
      </c>
      <c r="I1209" s="36">
        <v>179</v>
      </c>
      <c r="J1209" s="36">
        <v>823</v>
      </c>
      <c r="K1209" s="36">
        <v>178</v>
      </c>
      <c r="L1209" s="37">
        <f t="shared" si="0"/>
        <v>99.441340782122907</v>
      </c>
      <c r="M1209" s="35">
        <v>2</v>
      </c>
      <c r="N1209" s="38">
        <f t="shared" si="1"/>
        <v>1.1173184357541899</v>
      </c>
      <c r="O1209" s="35">
        <v>1</v>
      </c>
      <c r="P1209" s="38">
        <f t="shared" si="2"/>
        <v>50</v>
      </c>
      <c r="Q1209" s="39" t="s">
        <v>333</v>
      </c>
      <c r="R1209" s="39" t="str">
        <f t="shared" si="3"/>
        <v>T</v>
      </c>
      <c r="S1209" s="34"/>
      <c r="T1209" s="34" t="str">
        <f>IF('PL1(Full)'!$N1209&gt;=20,"x",IF(AND('PL1(Full)'!$N1209&gt;=15,'PL1(Full)'!$P1209&gt;60),"x",""))</f>
        <v/>
      </c>
      <c r="U1209" s="34" t="str">
        <f>IF(AND('PL1(Full)'!$H1209="Thôn",'PL1(Full)'!$I1209&lt;75),"x",IF(AND('PL1(Full)'!$H1209="Tổ",'PL1(Full)'!$I1209&lt;100),"x","-"))</f>
        <v>-</v>
      </c>
      <c r="V1209" s="34" t="str">
        <f>IF(AND('PL1(Full)'!$H1209="Thôn",'PL1(Full)'!$I1209&lt;140),"x",IF(AND('PL1(Full)'!$H1209="Tổ",'PL1(Full)'!$I1209&lt;210),"x","-"))</f>
        <v>x</v>
      </c>
      <c r="W1209" s="40" t="str">
        <f t="shared" si="201"/>
        <v>Loại 2</v>
      </c>
      <c r="X1209" s="34"/>
    </row>
    <row r="1210" spans="1:24" ht="15.75" customHeight="1">
      <c r="A1210" s="30">
        <f>_xlfn.AGGREGATE(4,7,A$6:A1209)+1</f>
        <v>899</v>
      </c>
      <c r="B1210" s="31" t="str">
        <f t="shared" si="219"/>
        <v>TP. Bắc Kạn</v>
      </c>
      <c r="C1210" s="66" t="str">
        <f t="shared" si="220"/>
        <v>P. Huyền Tụng</v>
      </c>
      <c r="D1210" s="151"/>
      <c r="E1210" s="151" t="s">
        <v>36</v>
      </c>
      <c r="F1210" s="152" t="s">
        <v>1264</v>
      </c>
      <c r="G1210" s="151"/>
      <c r="H1210" s="151" t="str">
        <f>IF(LEFT('PL1(Full)'!$F1210,4)="Thôn","Thôn","Tổ")</f>
        <v>Tổ</v>
      </c>
      <c r="I1210" s="36">
        <v>76</v>
      </c>
      <c r="J1210" s="36">
        <v>326</v>
      </c>
      <c r="K1210" s="36">
        <v>53</v>
      </c>
      <c r="L1210" s="37">
        <f t="shared" si="0"/>
        <v>69.736842105263165</v>
      </c>
      <c r="M1210" s="35">
        <v>6</v>
      </c>
      <c r="N1210" s="38">
        <f t="shared" si="1"/>
        <v>7.8947368421052628</v>
      </c>
      <c r="O1210" s="35">
        <v>5</v>
      </c>
      <c r="P1210" s="38">
        <f t="shared" si="2"/>
        <v>83.333333333333329</v>
      </c>
      <c r="Q1210" s="39" t="s">
        <v>300</v>
      </c>
      <c r="R1210" s="39" t="str">
        <f t="shared" si="3"/>
        <v>T</v>
      </c>
      <c r="S1210" s="34"/>
      <c r="T1210" s="34" t="str">
        <f>IF('PL1(Full)'!$N1210&gt;=20,"x",IF(AND('PL1(Full)'!$N1210&gt;=15,'PL1(Full)'!$P1210&gt;60),"x",""))</f>
        <v/>
      </c>
      <c r="U1210" s="34" t="str">
        <f>IF(AND('PL1(Full)'!$H1210="Thôn",'PL1(Full)'!$I1210&lt;75),"x",IF(AND('PL1(Full)'!$H1210="Tổ",'PL1(Full)'!$I1210&lt;100),"x","-"))</f>
        <v>x</v>
      </c>
      <c r="V1210" s="34" t="str">
        <f>IF(AND('PL1(Full)'!$H1210="Thôn",'PL1(Full)'!$I1210&lt;140),"x",IF(AND('PL1(Full)'!$H1210="Tổ",'PL1(Full)'!$I1210&lt;210),"x","-"))</f>
        <v>x</v>
      </c>
      <c r="W1210" s="40" t="str">
        <f t="shared" si="201"/>
        <v>Loại 3</v>
      </c>
      <c r="X1210" s="34"/>
    </row>
    <row r="1211" spans="1:24" ht="15.75" customHeight="1">
      <c r="A1211" s="30">
        <f>_xlfn.AGGREGATE(4,7,A$6:A1210)+1</f>
        <v>900</v>
      </c>
      <c r="B1211" s="31" t="str">
        <f t="shared" si="219"/>
        <v>TP. Bắc Kạn</v>
      </c>
      <c r="C1211" s="66" t="str">
        <f t="shared" si="220"/>
        <v>P. Huyền Tụng</v>
      </c>
      <c r="D1211" s="151"/>
      <c r="E1211" s="151" t="s">
        <v>36</v>
      </c>
      <c r="F1211" s="152" t="s">
        <v>435</v>
      </c>
      <c r="G1211" s="151"/>
      <c r="H1211" s="151" t="str">
        <f>IF(LEFT('PL1(Full)'!$F1211,4)="Thôn","Thôn","Tổ")</f>
        <v>Tổ</v>
      </c>
      <c r="I1211" s="36">
        <v>71</v>
      </c>
      <c r="J1211" s="36">
        <v>241</v>
      </c>
      <c r="K1211" s="36">
        <v>66</v>
      </c>
      <c r="L1211" s="37">
        <f t="shared" si="0"/>
        <v>92.957746478873233</v>
      </c>
      <c r="M1211" s="35">
        <v>6</v>
      </c>
      <c r="N1211" s="38">
        <f t="shared" si="1"/>
        <v>8.4507042253521121</v>
      </c>
      <c r="O1211" s="35">
        <v>6</v>
      </c>
      <c r="P1211" s="38">
        <f t="shared" si="2"/>
        <v>100</v>
      </c>
      <c r="Q1211" s="39" t="s">
        <v>300</v>
      </c>
      <c r="R1211" s="39" t="str">
        <f t="shared" si="3"/>
        <v>T</v>
      </c>
      <c r="S1211" s="34"/>
      <c r="T1211" s="34" t="str">
        <f>IF('PL1(Full)'!$N1211&gt;=20,"x",IF(AND('PL1(Full)'!$N1211&gt;=15,'PL1(Full)'!$P1211&gt;60),"x",""))</f>
        <v/>
      </c>
      <c r="U1211" s="34" t="str">
        <f>IF(AND('PL1(Full)'!$H1211="Thôn",'PL1(Full)'!$I1211&lt;75),"x",IF(AND('PL1(Full)'!$H1211="Tổ",'PL1(Full)'!$I1211&lt;100),"x","-"))</f>
        <v>x</v>
      </c>
      <c r="V1211" s="34" t="str">
        <f>IF(AND('PL1(Full)'!$H1211="Thôn",'PL1(Full)'!$I1211&lt;140),"x",IF(AND('PL1(Full)'!$H1211="Tổ",'PL1(Full)'!$I1211&lt;210),"x","-"))</f>
        <v>x</v>
      </c>
      <c r="W1211" s="40" t="str">
        <f t="shared" si="201"/>
        <v>Loại 3</v>
      </c>
      <c r="X1211" s="34"/>
    </row>
    <row r="1212" spans="1:24" ht="15.75" customHeight="1">
      <c r="A1212" s="30">
        <f>_xlfn.AGGREGATE(4,7,A$6:A1211)+1</f>
        <v>901</v>
      </c>
      <c r="B1212" s="31" t="str">
        <f t="shared" si="219"/>
        <v>TP. Bắc Kạn</v>
      </c>
      <c r="C1212" s="66" t="str">
        <f t="shared" si="220"/>
        <v>P. Huyền Tụng</v>
      </c>
      <c r="D1212" s="151"/>
      <c r="E1212" s="151" t="s">
        <v>36</v>
      </c>
      <c r="F1212" s="152" t="s">
        <v>1265</v>
      </c>
      <c r="G1212" s="151"/>
      <c r="H1212" s="151" t="str">
        <f>IF(LEFT('PL1(Full)'!$F1212,4)="Thôn","Thôn","Tổ")</f>
        <v>Tổ</v>
      </c>
      <c r="I1212" s="36">
        <v>39</v>
      </c>
      <c r="J1212" s="36">
        <v>147</v>
      </c>
      <c r="K1212" s="36">
        <v>31</v>
      </c>
      <c r="L1212" s="37">
        <f t="shared" si="0"/>
        <v>79.487179487179489</v>
      </c>
      <c r="M1212" s="35">
        <v>1</v>
      </c>
      <c r="N1212" s="38">
        <f t="shared" si="1"/>
        <v>2.5641025641025643</v>
      </c>
      <c r="O1212" s="36">
        <v>1</v>
      </c>
      <c r="P1212" s="38">
        <f t="shared" si="2"/>
        <v>100</v>
      </c>
      <c r="Q1212" s="39" t="s">
        <v>56</v>
      </c>
      <c r="R1212" s="39" t="str">
        <f t="shared" si="3"/>
        <v>X</v>
      </c>
      <c r="S1212" s="34"/>
      <c r="T1212" s="34"/>
      <c r="U1212" s="34" t="str">
        <f>IF(AND('PL1(Full)'!$H1212="Thôn",'PL1(Full)'!$I1212&lt;75),"x",IF(AND('PL1(Full)'!$H1212="Tổ",'PL1(Full)'!$I1212&lt;100),"x","-"))</f>
        <v>x</v>
      </c>
      <c r="V1212" s="34" t="str">
        <f>IF(AND('PL1(Full)'!$H1212="Thôn",'PL1(Full)'!$I1212&lt;140),"x",IF(AND('PL1(Full)'!$H1212="Tổ",'PL1(Full)'!$I1212&lt;210),"x","-"))</f>
        <v>x</v>
      </c>
      <c r="W1212" s="40" t="str">
        <f t="shared" si="201"/>
        <v>Loại 3</v>
      </c>
      <c r="X1212" s="34"/>
    </row>
    <row r="1213" spans="1:24" ht="15.75" customHeight="1">
      <c r="A1213" s="30">
        <f>_xlfn.AGGREGATE(4,7,A$6:A1212)+1</f>
        <v>902</v>
      </c>
      <c r="B1213" s="31" t="str">
        <f t="shared" si="219"/>
        <v>TP. Bắc Kạn</v>
      </c>
      <c r="C1213" s="66" t="str">
        <f t="shared" si="220"/>
        <v>P. Huyền Tụng</v>
      </c>
      <c r="D1213" s="151"/>
      <c r="E1213" s="151" t="s">
        <v>36</v>
      </c>
      <c r="F1213" s="152" t="s">
        <v>1266</v>
      </c>
      <c r="G1213" s="151"/>
      <c r="H1213" s="151" t="str">
        <f>IF(LEFT('PL1(Full)'!$F1213,4)="Thôn","Thôn","Tổ")</f>
        <v>Tổ</v>
      </c>
      <c r="I1213" s="36">
        <v>99</v>
      </c>
      <c r="J1213" s="36">
        <v>430</v>
      </c>
      <c r="K1213" s="36">
        <v>89</v>
      </c>
      <c r="L1213" s="37">
        <f t="shared" si="0"/>
        <v>89.898989898989896</v>
      </c>
      <c r="M1213" s="35">
        <v>3</v>
      </c>
      <c r="N1213" s="38">
        <f t="shared" si="1"/>
        <v>3.0303030303030303</v>
      </c>
      <c r="O1213" s="35">
        <v>2</v>
      </c>
      <c r="P1213" s="38">
        <f t="shared" si="2"/>
        <v>66.666666666666671</v>
      </c>
      <c r="Q1213" s="39" t="s">
        <v>56</v>
      </c>
      <c r="R1213" s="39" t="str">
        <f t="shared" si="3"/>
        <v>X</v>
      </c>
      <c r="S1213" s="34"/>
      <c r="T1213" s="34" t="str">
        <f>IF('PL1(Full)'!$N1213&gt;=20,"x",IF(AND('PL1(Full)'!$N1213&gt;=15,'PL1(Full)'!$P1213&gt;60),"x",""))</f>
        <v/>
      </c>
      <c r="U1213" s="34" t="str">
        <f>IF(AND('PL1(Full)'!$H1213="Thôn",'PL1(Full)'!$I1213&lt;75),"x",IF(AND('PL1(Full)'!$H1213="Tổ",'PL1(Full)'!$I1213&lt;100),"x","-"))</f>
        <v>x</v>
      </c>
      <c r="V1213" s="34" t="str">
        <f>IF(AND('PL1(Full)'!$H1213="Thôn",'PL1(Full)'!$I1213&lt;140),"x",IF(AND('PL1(Full)'!$H1213="Tổ",'PL1(Full)'!$I1213&lt;210),"x","-"))</f>
        <v>x</v>
      </c>
      <c r="W1213" s="40" t="str">
        <f t="shared" si="201"/>
        <v>Loại 3</v>
      </c>
      <c r="X1213" s="34"/>
    </row>
    <row r="1214" spans="1:24" ht="15.75" customHeight="1">
      <c r="A1214" s="30">
        <f>_xlfn.AGGREGATE(4,7,A$6:A1213)+1</f>
        <v>903</v>
      </c>
      <c r="B1214" s="31" t="str">
        <f t="shared" si="219"/>
        <v>TP. Bắc Kạn</v>
      </c>
      <c r="C1214" s="66" t="str">
        <f t="shared" si="220"/>
        <v>P. Huyền Tụng</v>
      </c>
      <c r="D1214" s="151"/>
      <c r="E1214" s="151" t="s">
        <v>36</v>
      </c>
      <c r="F1214" s="152" t="s">
        <v>1267</v>
      </c>
      <c r="G1214" s="151"/>
      <c r="H1214" s="151" t="str">
        <f>IF(LEFT('PL1(Full)'!$F1214,4)="Thôn","Thôn","Tổ")</f>
        <v>Tổ</v>
      </c>
      <c r="I1214" s="36">
        <v>98</v>
      </c>
      <c r="J1214" s="36">
        <v>426</v>
      </c>
      <c r="K1214" s="36">
        <v>78</v>
      </c>
      <c r="L1214" s="37">
        <f t="shared" si="0"/>
        <v>79.591836734693871</v>
      </c>
      <c r="M1214" s="35">
        <v>2</v>
      </c>
      <c r="N1214" s="38">
        <f t="shared" si="1"/>
        <v>2.0408163265306123</v>
      </c>
      <c r="O1214" s="35">
        <v>2</v>
      </c>
      <c r="P1214" s="38">
        <f t="shared" si="2"/>
        <v>100</v>
      </c>
      <c r="Q1214" s="39" t="s">
        <v>56</v>
      </c>
      <c r="R1214" s="39" t="str">
        <f t="shared" si="3"/>
        <v>X</v>
      </c>
      <c r="S1214" s="34"/>
      <c r="T1214" s="34" t="str">
        <f>IF('PL1(Full)'!$N1214&gt;=20,"x",IF(AND('PL1(Full)'!$N1214&gt;=15,'PL1(Full)'!$P1214&gt;60),"x",""))</f>
        <v/>
      </c>
      <c r="U1214" s="34" t="str">
        <f>IF(AND('PL1(Full)'!$H1214="Thôn",'PL1(Full)'!$I1214&lt;75),"x",IF(AND('PL1(Full)'!$H1214="Tổ",'PL1(Full)'!$I1214&lt;100),"x","-"))</f>
        <v>x</v>
      </c>
      <c r="V1214" s="34" t="str">
        <f>IF(AND('PL1(Full)'!$H1214="Thôn",'PL1(Full)'!$I1214&lt;140),"x",IF(AND('PL1(Full)'!$H1214="Tổ",'PL1(Full)'!$I1214&lt;210),"x","-"))</f>
        <v>x</v>
      </c>
      <c r="W1214" s="40" t="str">
        <f t="shared" si="201"/>
        <v>Loại 3</v>
      </c>
      <c r="X1214" s="34"/>
    </row>
    <row r="1215" spans="1:24" ht="15.75" customHeight="1">
      <c r="A1215" s="30">
        <f>_xlfn.AGGREGATE(4,7,A$6:A1214)+1</f>
        <v>904</v>
      </c>
      <c r="B1215" s="31" t="str">
        <f t="shared" si="219"/>
        <v>TP. Bắc Kạn</v>
      </c>
      <c r="C1215" s="66" t="str">
        <f t="shared" si="220"/>
        <v>P. Huyền Tụng</v>
      </c>
      <c r="D1215" s="151"/>
      <c r="E1215" s="151" t="s">
        <v>36</v>
      </c>
      <c r="F1215" s="152" t="s">
        <v>1268</v>
      </c>
      <c r="G1215" s="151"/>
      <c r="H1215" s="151" t="str">
        <f>IF(LEFT('PL1(Full)'!$F1215,4)="Thôn","Thôn","Tổ")</f>
        <v>Tổ</v>
      </c>
      <c r="I1215" s="36">
        <v>16</v>
      </c>
      <c r="J1215" s="36">
        <v>56</v>
      </c>
      <c r="K1215" s="36">
        <v>16</v>
      </c>
      <c r="L1215" s="37">
        <f t="shared" si="0"/>
        <v>100</v>
      </c>
      <c r="M1215" s="35">
        <v>0</v>
      </c>
      <c r="N1215" s="38">
        <f t="shared" si="1"/>
        <v>0</v>
      </c>
      <c r="O1215" s="36">
        <v>0</v>
      </c>
      <c r="P1215" s="38">
        <f t="shared" si="2"/>
        <v>0</v>
      </c>
      <c r="Q1215" s="39" t="s">
        <v>56</v>
      </c>
      <c r="R1215" s="39" t="str">
        <f t="shared" si="3"/>
        <v>X</v>
      </c>
      <c r="S1215" s="34"/>
      <c r="T1215" s="34"/>
      <c r="U1215" s="34" t="str">
        <f>IF(AND('PL1(Full)'!$H1215="Thôn",'PL1(Full)'!$I1215&lt;75),"x",IF(AND('PL1(Full)'!$H1215="Tổ",'PL1(Full)'!$I1215&lt;100),"x","-"))</f>
        <v>x</v>
      </c>
      <c r="V1215" s="34" t="str">
        <f>IF(AND('PL1(Full)'!$H1215="Thôn",'PL1(Full)'!$I1215&lt;140),"x",IF(AND('PL1(Full)'!$H1215="Tổ",'PL1(Full)'!$I1215&lt;210),"x","-"))</f>
        <v>x</v>
      </c>
      <c r="W1215" s="40" t="str">
        <f t="shared" si="201"/>
        <v>Loại 3</v>
      </c>
      <c r="X1215" s="34"/>
    </row>
    <row r="1216" spans="1:24" ht="15.75" customHeight="1">
      <c r="A1216" s="30">
        <f>_xlfn.AGGREGATE(4,7,A$6:A1215)+1</f>
        <v>905</v>
      </c>
      <c r="B1216" s="31" t="str">
        <f t="shared" si="219"/>
        <v>TP. Bắc Kạn</v>
      </c>
      <c r="C1216" s="66" t="str">
        <f t="shared" si="220"/>
        <v>P. Huyền Tụng</v>
      </c>
      <c r="D1216" s="151"/>
      <c r="E1216" s="151" t="s">
        <v>36</v>
      </c>
      <c r="F1216" s="152" t="s">
        <v>1269</v>
      </c>
      <c r="G1216" s="151"/>
      <c r="H1216" s="151" t="str">
        <f>IF(LEFT('PL1(Full)'!$F1216,4)="Thôn","Thôn","Tổ")</f>
        <v>Tổ</v>
      </c>
      <c r="I1216" s="36">
        <v>98</v>
      </c>
      <c r="J1216" s="36">
        <v>389</v>
      </c>
      <c r="K1216" s="36">
        <v>85</v>
      </c>
      <c r="L1216" s="37">
        <f t="shared" si="0"/>
        <v>86.734693877551024</v>
      </c>
      <c r="M1216" s="35">
        <v>8</v>
      </c>
      <c r="N1216" s="38">
        <f t="shared" si="1"/>
        <v>8.1632653061224492</v>
      </c>
      <c r="O1216" s="35">
        <v>8</v>
      </c>
      <c r="P1216" s="38">
        <f t="shared" si="2"/>
        <v>100</v>
      </c>
      <c r="Q1216" s="39" t="s">
        <v>56</v>
      </c>
      <c r="R1216" s="39" t="str">
        <f t="shared" si="3"/>
        <v>X</v>
      </c>
      <c r="S1216" s="34"/>
      <c r="T1216" s="34" t="str">
        <f>IF('PL1(Full)'!$N1216&gt;=20,"x",IF(AND('PL1(Full)'!$N1216&gt;=15,'PL1(Full)'!$P1216&gt;60),"x",""))</f>
        <v/>
      </c>
      <c r="U1216" s="34" t="str">
        <f>IF(AND('PL1(Full)'!$H1216="Thôn",'PL1(Full)'!$I1216&lt;75),"x",IF(AND('PL1(Full)'!$H1216="Tổ",'PL1(Full)'!$I1216&lt;100),"x","-"))</f>
        <v>x</v>
      </c>
      <c r="V1216" s="34" t="str">
        <f>IF(AND('PL1(Full)'!$H1216="Thôn",'PL1(Full)'!$I1216&lt;140),"x",IF(AND('PL1(Full)'!$H1216="Tổ",'PL1(Full)'!$I1216&lt;210),"x","-"))</f>
        <v>x</v>
      </c>
      <c r="W1216" s="40" t="str">
        <f t="shared" si="201"/>
        <v>Loại 3</v>
      </c>
      <c r="X1216" s="34"/>
    </row>
    <row r="1217" spans="1:24" ht="15.75" customHeight="1">
      <c r="A1217" s="41">
        <f>_xlfn.AGGREGATE(4,7,A$6:A1216)+1</f>
        <v>906</v>
      </c>
      <c r="B1217" s="42" t="str">
        <f t="shared" si="219"/>
        <v>TP. Bắc Kạn</v>
      </c>
      <c r="C1217" s="67" t="str">
        <f t="shared" si="220"/>
        <v>P. Huyền Tụng</v>
      </c>
      <c r="D1217" s="153"/>
      <c r="E1217" s="153" t="s">
        <v>36</v>
      </c>
      <c r="F1217" s="154" t="s">
        <v>1270</v>
      </c>
      <c r="G1217" s="153"/>
      <c r="H1217" s="153" t="str">
        <f>IF(LEFT('PL1(Full)'!$F1217,4)="Thôn","Thôn","Tổ")</f>
        <v>Tổ</v>
      </c>
      <c r="I1217" s="46">
        <v>57</v>
      </c>
      <c r="J1217" s="46">
        <v>166</v>
      </c>
      <c r="K1217" s="46">
        <v>51</v>
      </c>
      <c r="L1217" s="47">
        <f t="shared" si="0"/>
        <v>89.473684210526315</v>
      </c>
      <c r="M1217" s="45">
        <v>2</v>
      </c>
      <c r="N1217" s="48">
        <f t="shared" si="1"/>
        <v>3.5087719298245612</v>
      </c>
      <c r="O1217" s="45">
        <v>2</v>
      </c>
      <c r="P1217" s="48">
        <f t="shared" si="2"/>
        <v>100</v>
      </c>
      <c r="Q1217" s="49" t="s">
        <v>1271</v>
      </c>
      <c r="R1217" s="49" t="str">
        <f t="shared" si="3"/>
        <v>T</v>
      </c>
      <c r="S1217" s="50"/>
      <c r="T1217" s="50" t="str">
        <f>IF('PL1(Full)'!$N1217&gt;=20,"x",IF(AND('PL1(Full)'!$N1217&gt;=15,'PL1(Full)'!$P1217&gt;60),"x",""))</f>
        <v/>
      </c>
      <c r="U1217" s="50" t="str">
        <f>IF(AND('PL1(Full)'!$H1217="Thôn",'PL1(Full)'!$I1217&lt;75),"x",IF(AND('PL1(Full)'!$H1217="Tổ",'PL1(Full)'!$I1217&lt;100),"x","-"))</f>
        <v>x</v>
      </c>
      <c r="V1217" s="34" t="str">
        <f>IF(AND('PL1(Full)'!$H1217="Thôn",'PL1(Full)'!$I1217&lt;140),"x",IF(AND('PL1(Full)'!$H1217="Tổ",'PL1(Full)'!$I1217&lt;210),"x","-"))</f>
        <v>x</v>
      </c>
      <c r="W1217" s="51" t="str">
        <f t="shared" si="201"/>
        <v>Loại 3</v>
      </c>
      <c r="X1217" s="50"/>
    </row>
    <row r="1218" spans="1:24" ht="15.75">
      <c r="A1218" s="52">
        <f>_xlfn.AGGREGATE(4,7,A$6:A1217)+1</f>
        <v>907</v>
      </c>
      <c r="B1218" s="14" t="str">
        <f t="shared" si="219"/>
        <v>TP. Bắc Kạn</v>
      </c>
      <c r="C1218" s="66" t="s">
        <v>1272</v>
      </c>
      <c r="D1218" s="155" t="s">
        <v>36</v>
      </c>
      <c r="E1218" s="155" t="s">
        <v>36</v>
      </c>
      <c r="F1218" s="65" t="s">
        <v>411</v>
      </c>
      <c r="G1218" s="18"/>
      <c r="H1218" s="18" t="str">
        <f>IF(LEFT('PL1(Full)'!$F1218,4)="Thôn","Thôn","Tổ")</f>
        <v>Tổ</v>
      </c>
      <c r="I1218" s="20">
        <v>88</v>
      </c>
      <c r="J1218" s="20">
        <v>331</v>
      </c>
      <c r="K1218" s="20">
        <v>22</v>
      </c>
      <c r="L1218" s="21">
        <f t="shared" si="0"/>
        <v>25</v>
      </c>
      <c r="M1218" s="19">
        <v>0</v>
      </c>
      <c r="N1218" s="22">
        <f t="shared" si="1"/>
        <v>0</v>
      </c>
      <c r="O1218" s="19">
        <v>0</v>
      </c>
      <c r="P1218" s="22">
        <f t="shared" si="2"/>
        <v>0</v>
      </c>
      <c r="Q1218" s="72" t="s">
        <v>82</v>
      </c>
      <c r="R1218" s="72" t="str">
        <f t="shared" si="3"/>
        <v>X</v>
      </c>
      <c r="S1218" s="73"/>
      <c r="T1218" s="26" t="str">
        <f>IF('PL1(Full)'!$N1218&gt;=20,"x",IF(AND('PL1(Full)'!$N1218&gt;=15,'PL1(Full)'!$P1218&gt;60),"x",""))</f>
        <v/>
      </c>
      <c r="U1218" s="27" t="str">
        <f>IF(AND('PL1(Full)'!$H1218="Thôn",'PL1(Full)'!$I1218&lt;75),"x",IF(AND('PL1(Full)'!$H1218="Tổ",'PL1(Full)'!$I1218&lt;100),"x","-"))</f>
        <v>x</v>
      </c>
      <c r="V1218" s="28" t="str">
        <f>IF(AND('PL1(Full)'!$H1218="Thôn",'PL1(Full)'!$I1218&lt;140),"x",IF(AND('PL1(Full)'!$H1218="Tổ",'PL1(Full)'!$I1218&lt;210),"x","-"))</f>
        <v>x</v>
      </c>
      <c r="W1218" s="29" t="str">
        <f t="shared" si="201"/>
        <v>Loại 3</v>
      </c>
      <c r="X1218" s="18"/>
    </row>
    <row r="1219" spans="1:24" ht="15.75">
      <c r="A1219" s="30">
        <f>_xlfn.AGGREGATE(4,7,A$6:A1218)+1</f>
        <v>908</v>
      </c>
      <c r="B1219" s="31" t="str">
        <f t="shared" si="219"/>
        <v>TP. Bắc Kạn</v>
      </c>
      <c r="C1219" s="66" t="str">
        <f t="shared" ref="C1219:C1234" si="221">C1218</f>
        <v>P. NT Minh Khai</v>
      </c>
      <c r="D1219" s="32"/>
      <c r="E1219" s="32" t="s">
        <v>36</v>
      </c>
      <c r="F1219" s="66" t="s">
        <v>639</v>
      </c>
      <c r="G1219" s="32"/>
      <c r="H1219" s="32" t="str">
        <f>IF(LEFT('PL1(Full)'!$F1219,4)="Thôn","Thôn","Tổ")</f>
        <v>Tổ</v>
      </c>
      <c r="I1219" s="36">
        <v>59</v>
      </c>
      <c r="J1219" s="36">
        <v>253</v>
      </c>
      <c r="K1219" s="36">
        <v>34</v>
      </c>
      <c r="L1219" s="37">
        <f t="shared" si="0"/>
        <v>57.627118644067799</v>
      </c>
      <c r="M1219" s="35">
        <v>1</v>
      </c>
      <c r="N1219" s="38">
        <f t="shared" si="1"/>
        <v>1.6949152542372881</v>
      </c>
      <c r="O1219" s="35">
        <v>0</v>
      </c>
      <c r="P1219" s="38">
        <f t="shared" si="2"/>
        <v>0</v>
      </c>
      <c r="Q1219" s="76" t="s">
        <v>56</v>
      </c>
      <c r="R1219" s="76" t="str">
        <f t="shared" si="3"/>
        <v>X</v>
      </c>
      <c r="S1219" s="77"/>
      <c r="T1219" s="34" t="str">
        <f>IF('PL1(Full)'!$N1219&gt;=20,"x",IF(AND('PL1(Full)'!$N1219&gt;=15,'PL1(Full)'!$P1219&gt;60),"x",""))</f>
        <v/>
      </c>
      <c r="U1219" s="34" t="str">
        <f>IF(AND('PL1(Full)'!$H1219="Thôn",'PL1(Full)'!$I1219&lt;75),"x",IF(AND('PL1(Full)'!$H1219="Tổ",'PL1(Full)'!$I1219&lt;100),"x","-"))</f>
        <v>x</v>
      </c>
      <c r="V1219" s="34" t="str">
        <f>IF(AND('PL1(Full)'!$H1219="Thôn",'PL1(Full)'!$I1219&lt;140),"x",IF(AND('PL1(Full)'!$H1219="Tổ",'PL1(Full)'!$I1219&lt;210),"x","-"))</f>
        <v>x</v>
      </c>
      <c r="W1219" s="40" t="str">
        <f t="shared" si="201"/>
        <v>Loại 3</v>
      </c>
      <c r="X1219" s="32"/>
    </row>
    <row r="1220" spans="1:24" ht="15.75">
      <c r="A1220" s="30">
        <f>_xlfn.AGGREGATE(4,7,A$6:A1219)+1</f>
        <v>909</v>
      </c>
      <c r="B1220" s="31" t="str">
        <f t="shared" si="219"/>
        <v>TP. Bắc Kạn</v>
      </c>
      <c r="C1220" s="66" t="str">
        <f t="shared" si="221"/>
        <v>P. NT Minh Khai</v>
      </c>
      <c r="D1220" s="32"/>
      <c r="E1220" s="32" t="s">
        <v>36</v>
      </c>
      <c r="F1220" s="66" t="s">
        <v>414</v>
      </c>
      <c r="G1220" s="32"/>
      <c r="H1220" s="32" t="str">
        <f>IF(LEFT('PL1(Full)'!$F1220,4)="Thôn","Thôn","Tổ")</f>
        <v>Tổ</v>
      </c>
      <c r="I1220" s="36">
        <v>62</v>
      </c>
      <c r="J1220" s="36">
        <v>270</v>
      </c>
      <c r="K1220" s="36">
        <v>30</v>
      </c>
      <c r="L1220" s="37">
        <f t="shared" si="0"/>
        <v>48.387096774193552</v>
      </c>
      <c r="M1220" s="35">
        <v>1</v>
      </c>
      <c r="N1220" s="38">
        <f t="shared" si="1"/>
        <v>1.6129032258064515</v>
      </c>
      <c r="O1220" s="35">
        <v>0</v>
      </c>
      <c r="P1220" s="38">
        <f t="shared" si="2"/>
        <v>0</v>
      </c>
      <c r="Q1220" s="76" t="s">
        <v>82</v>
      </c>
      <c r="R1220" s="76" t="str">
        <f t="shared" si="3"/>
        <v>X</v>
      </c>
      <c r="S1220" s="77"/>
      <c r="T1220" s="34" t="str">
        <f>IF('PL1(Full)'!$N1220&gt;=20,"x",IF(AND('PL1(Full)'!$N1220&gt;=15,'PL1(Full)'!$P1220&gt;60),"x",""))</f>
        <v/>
      </c>
      <c r="U1220" s="34" t="str">
        <f>IF(AND('PL1(Full)'!$H1220="Thôn",'PL1(Full)'!$I1220&lt;75),"x",IF(AND('PL1(Full)'!$H1220="Tổ",'PL1(Full)'!$I1220&lt;100),"x","-"))</f>
        <v>x</v>
      </c>
      <c r="V1220" s="34" t="str">
        <f>IF(AND('PL1(Full)'!$H1220="Thôn",'PL1(Full)'!$I1220&lt;140),"x",IF(AND('PL1(Full)'!$H1220="Tổ",'PL1(Full)'!$I1220&lt;210),"x","-"))</f>
        <v>x</v>
      </c>
      <c r="W1220" s="40" t="str">
        <f t="shared" si="201"/>
        <v>Loại 3</v>
      </c>
      <c r="X1220" s="32"/>
    </row>
    <row r="1221" spans="1:24" ht="15.75">
      <c r="A1221" s="30">
        <f>_xlfn.AGGREGATE(4,7,A$6:A1220)+1</f>
        <v>910</v>
      </c>
      <c r="B1221" s="31" t="str">
        <f t="shared" si="219"/>
        <v>TP. Bắc Kạn</v>
      </c>
      <c r="C1221" s="66" t="str">
        <f t="shared" si="221"/>
        <v>P. NT Minh Khai</v>
      </c>
      <c r="D1221" s="32"/>
      <c r="E1221" s="32" t="s">
        <v>36</v>
      </c>
      <c r="F1221" s="66" t="s">
        <v>415</v>
      </c>
      <c r="G1221" s="32"/>
      <c r="H1221" s="32" t="str">
        <f>IF(LEFT('PL1(Full)'!$F1221,4)="Thôn","Thôn","Tổ")</f>
        <v>Tổ</v>
      </c>
      <c r="I1221" s="36">
        <v>59</v>
      </c>
      <c r="J1221" s="36">
        <v>243</v>
      </c>
      <c r="K1221" s="36">
        <v>26</v>
      </c>
      <c r="L1221" s="37">
        <f t="shared" si="0"/>
        <v>44.067796610169495</v>
      </c>
      <c r="M1221" s="35">
        <v>0</v>
      </c>
      <c r="N1221" s="38">
        <f t="shared" si="1"/>
        <v>0</v>
      </c>
      <c r="O1221" s="35">
        <v>0</v>
      </c>
      <c r="P1221" s="38">
        <f t="shared" si="2"/>
        <v>0</v>
      </c>
      <c r="Q1221" s="76" t="s">
        <v>63</v>
      </c>
      <c r="R1221" s="76" t="str">
        <f t="shared" si="3"/>
        <v>X</v>
      </c>
      <c r="S1221" s="77"/>
      <c r="T1221" s="34" t="str">
        <f>IF('PL1(Full)'!$N1221&gt;=20,"x",IF(AND('PL1(Full)'!$N1221&gt;=15,'PL1(Full)'!$P1221&gt;60),"x",""))</f>
        <v/>
      </c>
      <c r="U1221" s="34" t="str">
        <f>IF(AND('PL1(Full)'!$H1221="Thôn",'PL1(Full)'!$I1221&lt;75),"x",IF(AND('PL1(Full)'!$H1221="Tổ",'PL1(Full)'!$I1221&lt;100),"x","-"))</f>
        <v>x</v>
      </c>
      <c r="V1221" s="34" t="str">
        <f>IF(AND('PL1(Full)'!$H1221="Thôn",'PL1(Full)'!$I1221&lt;140),"x",IF(AND('PL1(Full)'!$H1221="Tổ",'PL1(Full)'!$I1221&lt;210),"x","-"))</f>
        <v>x</v>
      </c>
      <c r="W1221" s="40" t="str">
        <f t="shared" si="201"/>
        <v>Loại 3</v>
      </c>
      <c r="X1221" s="32"/>
    </row>
    <row r="1222" spans="1:24" ht="15.75">
      <c r="A1222" s="30">
        <f>_xlfn.AGGREGATE(4,7,A$6:A1221)+1</f>
        <v>911</v>
      </c>
      <c r="B1222" s="31" t="str">
        <f t="shared" si="219"/>
        <v>TP. Bắc Kạn</v>
      </c>
      <c r="C1222" s="66" t="str">
        <f t="shared" si="221"/>
        <v>P. NT Minh Khai</v>
      </c>
      <c r="D1222" s="32"/>
      <c r="E1222" s="32" t="s">
        <v>36</v>
      </c>
      <c r="F1222" s="66" t="s">
        <v>416</v>
      </c>
      <c r="G1222" s="32"/>
      <c r="H1222" s="32" t="str">
        <f>IF(LEFT('PL1(Full)'!$F1222,4)="Thôn","Thôn","Tổ")</f>
        <v>Tổ</v>
      </c>
      <c r="I1222" s="36">
        <v>88</v>
      </c>
      <c r="J1222" s="36">
        <v>345</v>
      </c>
      <c r="K1222" s="36">
        <v>55</v>
      </c>
      <c r="L1222" s="37">
        <f t="shared" si="0"/>
        <v>62.5</v>
      </c>
      <c r="M1222" s="35">
        <v>0</v>
      </c>
      <c r="N1222" s="38">
        <f t="shared" si="1"/>
        <v>0</v>
      </c>
      <c r="O1222" s="35">
        <v>0</v>
      </c>
      <c r="P1222" s="38">
        <f t="shared" si="2"/>
        <v>0</v>
      </c>
      <c r="Q1222" s="76" t="s">
        <v>158</v>
      </c>
      <c r="R1222" s="76" t="str">
        <f t="shared" si="3"/>
        <v>X</v>
      </c>
      <c r="S1222" s="77"/>
      <c r="T1222" s="34" t="str">
        <f>IF('PL1(Full)'!$N1222&gt;=20,"x",IF(AND('PL1(Full)'!$N1222&gt;=15,'PL1(Full)'!$P1222&gt;60),"x",""))</f>
        <v/>
      </c>
      <c r="U1222" s="34" t="str">
        <f>IF(AND('PL1(Full)'!$H1222="Thôn",'PL1(Full)'!$I1222&lt;75),"x",IF(AND('PL1(Full)'!$H1222="Tổ",'PL1(Full)'!$I1222&lt;100),"x","-"))</f>
        <v>x</v>
      </c>
      <c r="V1222" s="34" t="str">
        <f>IF(AND('PL1(Full)'!$H1222="Thôn",'PL1(Full)'!$I1222&lt;140),"x",IF(AND('PL1(Full)'!$H1222="Tổ",'PL1(Full)'!$I1222&lt;210),"x","-"))</f>
        <v>x</v>
      </c>
      <c r="W1222" s="40" t="str">
        <f t="shared" si="201"/>
        <v>Loại 3</v>
      </c>
      <c r="X1222" s="32"/>
    </row>
    <row r="1223" spans="1:24" ht="15.75">
      <c r="A1223" s="30">
        <f>_xlfn.AGGREGATE(4,7,A$6:A1222)+1</f>
        <v>912</v>
      </c>
      <c r="B1223" s="31" t="str">
        <f t="shared" si="219"/>
        <v>TP. Bắc Kạn</v>
      </c>
      <c r="C1223" s="66" t="str">
        <f t="shared" si="221"/>
        <v>P. NT Minh Khai</v>
      </c>
      <c r="D1223" s="32"/>
      <c r="E1223" s="32" t="s">
        <v>36</v>
      </c>
      <c r="F1223" s="66" t="s">
        <v>640</v>
      </c>
      <c r="G1223" s="32"/>
      <c r="H1223" s="32" t="str">
        <f>IF(LEFT('PL1(Full)'!$F1223,4)="Thôn","Thôn","Tổ")</f>
        <v>Tổ</v>
      </c>
      <c r="I1223" s="36">
        <v>57</v>
      </c>
      <c r="J1223" s="36">
        <v>245</v>
      </c>
      <c r="K1223" s="36">
        <v>40</v>
      </c>
      <c r="L1223" s="37">
        <f t="shared" si="0"/>
        <v>70.175438596491233</v>
      </c>
      <c r="M1223" s="35">
        <v>0</v>
      </c>
      <c r="N1223" s="38">
        <f t="shared" si="1"/>
        <v>0</v>
      </c>
      <c r="O1223" s="35">
        <v>0</v>
      </c>
      <c r="P1223" s="38">
        <f t="shared" si="2"/>
        <v>0</v>
      </c>
      <c r="Q1223" s="76" t="s">
        <v>56</v>
      </c>
      <c r="R1223" s="76" t="str">
        <f t="shared" si="3"/>
        <v>X</v>
      </c>
      <c r="S1223" s="77"/>
      <c r="T1223" s="34"/>
      <c r="U1223" s="34" t="str">
        <f>IF(AND('PL1(Full)'!$H1223="Thôn",'PL1(Full)'!$I1223&lt;75),"x",IF(AND('PL1(Full)'!$H1223="Tổ",'PL1(Full)'!$I1223&lt;100),"x","-"))</f>
        <v>x</v>
      </c>
      <c r="V1223" s="34" t="str">
        <f>IF(AND('PL1(Full)'!$H1223="Thôn",'PL1(Full)'!$I1223&lt;140),"x",IF(AND('PL1(Full)'!$H1223="Tổ",'PL1(Full)'!$I1223&lt;210),"x","-"))</f>
        <v>x</v>
      </c>
      <c r="W1223" s="40" t="str">
        <f t="shared" si="201"/>
        <v>Loại 3</v>
      </c>
      <c r="X1223" s="32"/>
    </row>
    <row r="1224" spans="1:24" ht="15.75" hidden="1">
      <c r="A1224" s="30">
        <f>_xlfn.AGGREGATE(4,7,A$6:A1223)+1</f>
        <v>913</v>
      </c>
      <c r="B1224" s="31" t="str">
        <f t="shared" si="219"/>
        <v>TP. Bắc Kạn</v>
      </c>
      <c r="C1224" s="66" t="str">
        <f t="shared" si="221"/>
        <v>P. NT Minh Khai</v>
      </c>
      <c r="D1224" s="32"/>
      <c r="E1224" s="32" t="s">
        <v>36</v>
      </c>
      <c r="F1224" s="66" t="s">
        <v>419</v>
      </c>
      <c r="G1224" s="32"/>
      <c r="H1224" s="32" t="str">
        <f>IF(LEFT('PL1(Full)'!$F1224,4)="Thôn","Thôn","Tổ")</f>
        <v>Tổ</v>
      </c>
      <c r="I1224" s="36">
        <v>120</v>
      </c>
      <c r="J1224" s="36">
        <v>430</v>
      </c>
      <c r="K1224" s="36">
        <v>70</v>
      </c>
      <c r="L1224" s="37">
        <f t="shared" si="0"/>
        <v>58.333333333333336</v>
      </c>
      <c r="M1224" s="35">
        <v>0</v>
      </c>
      <c r="N1224" s="38">
        <f t="shared" si="1"/>
        <v>0</v>
      </c>
      <c r="O1224" s="35">
        <v>0</v>
      </c>
      <c r="P1224" s="38">
        <f t="shared" si="2"/>
        <v>0</v>
      </c>
      <c r="Q1224" s="76" t="s">
        <v>56</v>
      </c>
      <c r="R1224" s="76" t="str">
        <f t="shared" si="3"/>
        <v>X</v>
      </c>
      <c r="S1224" s="77"/>
      <c r="T1224" s="34"/>
      <c r="U1224" s="34" t="str">
        <f>IF(AND('PL1(Full)'!$H1224="Thôn",'PL1(Full)'!$I1224&lt;75),"x",IF(AND('PL1(Full)'!$H1224="Tổ",'PL1(Full)'!$I1224&lt;100),"x","-"))</f>
        <v>-</v>
      </c>
      <c r="V1224" s="34" t="str">
        <f>IF(AND('PL1(Full)'!$H1224="Thôn",'PL1(Full)'!$I1224&lt;140),"x",IF(AND('PL1(Full)'!$H1224="Tổ",'PL1(Full)'!$I1224&lt;210),"x","-"))</f>
        <v>x</v>
      </c>
      <c r="W1224" s="40" t="str">
        <f t="shared" si="201"/>
        <v>Loại 3</v>
      </c>
      <c r="X1224" s="32"/>
    </row>
    <row r="1225" spans="1:24" ht="15.75">
      <c r="A1225" s="30">
        <f>_xlfn.AGGREGATE(4,7,A$6:A1224)+1</f>
        <v>913</v>
      </c>
      <c r="B1225" s="31" t="str">
        <f t="shared" si="219"/>
        <v>TP. Bắc Kạn</v>
      </c>
      <c r="C1225" s="66" t="str">
        <f t="shared" si="221"/>
        <v>P. NT Minh Khai</v>
      </c>
      <c r="D1225" s="32"/>
      <c r="E1225" s="32" t="s">
        <v>36</v>
      </c>
      <c r="F1225" s="66" t="s">
        <v>420</v>
      </c>
      <c r="G1225" s="32"/>
      <c r="H1225" s="32" t="str">
        <f>IF(LEFT('PL1(Full)'!$F1225,4)="Thôn","Thôn","Tổ")</f>
        <v>Tổ</v>
      </c>
      <c r="I1225" s="36">
        <v>60</v>
      </c>
      <c r="J1225" s="36">
        <v>216</v>
      </c>
      <c r="K1225" s="36">
        <v>36</v>
      </c>
      <c r="L1225" s="37">
        <f t="shared" si="0"/>
        <v>60</v>
      </c>
      <c r="M1225" s="35">
        <v>0</v>
      </c>
      <c r="N1225" s="38">
        <f t="shared" si="1"/>
        <v>0</v>
      </c>
      <c r="O1225" s="35">
        <v>0</v>
      </c>
      <c r="P1225" s="38">
        <f t="shared" si="2"/>
        <v>0</v>
      </c>
      <c r="Q1225" s="76" t="s">
        <v>63</v>
      </c>
      <c r="R1225" s="76" t="str">
        <f t="shared" si="3"/>
        <v>X</v>
      </c>
      <c r="S1225" s="77"/>
      <c r="T1225" s="34"/>
      <c r="U1225" s="34" t="str">
        <f>IF(AND('PL1(Full)'!$H1225="Thôn",'PL1(Full)'!$I1225&lt;75),"x",IF(AND('PL1(Full)'!$H1225="Tổ",'PL1(Full)'!$I1225&lt;100),"x","-"))</f>
        <v>x</v>
      </c>
      <c r="V1225" s="34" t="str">
        <f>IF(AND('PL1(Full)'!$H1225="Thôn",'PL1(Full)'!$I1225&lt;140),"x",IF(AND('PL1(Full)'!$H1225="Tổ",'PL1(Full)'!$I1225&lt;210),"x","-"))</f>
        <v>x</v>
      </c>
      <c r="W1225" s="40" t="str">
        <f t="shared" si="201"/>
        <v>Loại 3</v>
      </c>
      <c r="X1225" s="32"/>
    </row>
    <row r="1226" spans="1:24" ht="15.75">
      <c r="A1226" s="30">
        <f>_xlfn.AGGREGATE(4,7,A$6:A1225)+1</f>
        <v>914</v>
      </c>
      <c r="B1226" s="31" t="str">
        <f t="shared" si="219"/>
        <v>TP. Bắc Kạn</v>
      </c>
      <c r="C1226" s="66" t="str">
        <f t="shared" si="221"/>
        <v>P. NT Minh Khai</v>
      </c>
      <c r="D1226" s="32"/>
      <c r="E1226" s="32" t="s">
        <v>36</v>
      </c>
      <c r="F1226" s="66" t="s">
        <v>421</v>
      </c>
      <c r="G1226" s="32"/>
      <c r="H1226" s="32" t="str">
        <f>IF(LEFT('PL1(Full)'!$F1226,4)="Thôn","Thôn","Tổ")</f>
        <v>Tổ</v>
      </c>
      <c r="I1226" s="36">
        <v>87</v>
      </c>
      <c r="J1226" s="36">
        <v>354</v>
      </c>
      <c r="K1226" s="36">
        <v>46</v>
      </c>
      <c r="L1226" s="37">
        <f t="shared" si="0"/>
        <v>52.873563218390807</v>
      </c>
      <c r="M1226" s="35">
        <v>1</v>
      </c>
      <c r="N1226" s="38">
        <f t="shared" si="1"/>
        <v>1.1494252873563218</v>
      </c>
      <c r="O1226" s="35">
        <v>0</v>
      </c>
      <c r="P1226" s="38">
        <f t="shared" si="2"/>
        <v>0</v>
      </c>
      <c r="Q1226" s="76" t="s">
        <v>158</v>
      </c>
      <c r="R1226" s="76" t="str">
        <f t="shared" si="3"/>
        <v>X</v>
      </c>
      <c r="S1226" s="77"/>
      <c r="T1226" s="34"/>
      <c r="U1226" s="34" t="str">
        <f>IF(AND('PL1(Full)'!$H1226="Thôn",'PL1(Full)'!$I1226&lt;75),"x",IF(AND('PL1(Full)'!$H1226="Tổ",'PL1(Full)'!$I1226&lt;100),"x","-"))</f>
        <v>x</v>
      </c>
      <c r="V1226" s="34" t="str">
        <f>IF(AND('PL1(Full)'!$H1226="Thôn",'PL1(Full)'!$I1226&lt;140),"x",IF(AND('PL1(Full)'!$H1226="Tổ",'PL1(Full)'!$I1226&lt;210),"x","-"))</f>
        <v>x</v>
      </c>
      <c r="W1226" s="40" t="str">
        <f t="shared" si="201"/>
        <v>Loại 3</v>
      </c>
      <c r="X1226" s="32"/>
    </row>
    <row r="1227" spans="1:24" ht="15.75">
      <c r="A1227" s="30">
        <f>_xlfn.AGGREGATE(4,7,A$6:A1226)+1</f>
        <v>915</v>
      </c>
      <c r="B1227" s="31" t="str">
        <f t="shared" si="219"/>
        <v>TP. Bắc Kạn</v>
      </c>
      <c r="C1227" s="66" t="str">
        <f t="shared" si="221"/>
        <v>P. NT Minh Khai</v>
      </c>
      <c r="D1227" s="32"/>
      <c r="E1227" s="32" t="s">
        <v>36</v>
      </c>
      <c r="F1227" s="66" t="s">
        <v>422</v>
      </c>
      <c r="G1227" s="32"/>
      <c r="H1227" s="32" t="str">
        <f>IF(LEFT('PL1(Full)'!$F1227,4)="Thôn","Thôn","Tổ")</f>
        <v>Tổ</v>
      </c>
      <c r="I1227" s="36">
        <v>66</v>
      </c>
      <c r="J1227" s="36">
        <v>270</v>
      </c>
      <c r="K1227" s="36">
        <v>26</v>
      </c>
      <c r="L1227" s="37">
        <f t="shared" si="0"/>
        <v>39.393939393939391</v>
      </c>
      <c r="M1227" s="35">
        <v>0</v>
      </c>
      <c r="N1227" s="38">
        <f t="shared" si="1"/>
        <v>0</v>
      </c>
      <c r="O1227" s="35">
        <v>0</v>
      </c>
      <c r="P1227" s="38">
        <f t="shared" si="2"/>
        <v>0</v>
      </c>
      <c r="Q1227" s="76" t="s">
        <v>82</v>
      </c>
      <c r="R1227" s="76" t="str">
        <f t="shared" si="3"/>
        <v>X</v>
      </c>
      <c r="S1227" s="77"/>
      <c r="T1227" s="34" t="str">
        <f>IF('PL1(Full)'!$N1227&gt;=20,"x",IF(AND('PL1(Full)'!$N1227&gt;=15,'PL1(Full)'!$P1227&gt;60),"x",""))</f>
        <v/>
      </c>
      <c r="U1227" s="34" t="str">
        <f>IF(AND('PL1(Full)'!$H1227="Thôn",'PL1(Full)'!$I1227&lt;75),"x",IF(AND('PL1(Full)'!$H1227="Tổ",'PL1(Full)'!$I1227&lt;100),"x","-"))</f>
        <v>x</v>
      </c>
      <c r="V1227" s="34" t="str">
        <f>IF(AND('PL1(Full)'!$H1227="Thôn",'PL1(Full)'!$I1227&lt;140),"x",IF(AND('PL1(Full)'!$H1227="Tổ",'PL1(Full)'!$I1227&lt;210),"x","-"))</f>
        <v>x</v>
      </c>
      <c r="W1227" s="40" t="str">
        <f t="shared" si="201"/>
        <v>Loại 3</v>
      </c>
      <c r="X1227" s="32"/>
    </row>
    <row r="1228" spans="1:24" ht="15.75">
      <c r="A1228" s="30">
        <f>_xlfn.AGGREGATE(4,7,A$6:A1227)+1</f>
        <v>916</v>
      </c>
      <c r="B1228" s="31" t="str">
        <f t="shared" si="219"/>
        <v>TP. Bắc Kạn</v>
      </c>
      <c r="C1228" s="66" t="str">
        <f t="shared" si="221"/>
        <v>P. NT Minh Khai</v>
      </c>
      <c r="D1228" s="32"/>
      <c r="E1228" s="32" t="s">
        <v>36</v>
      </c>
      <c r="F1228" s="66" t="s">
        <v>642</v>
      </c>
      <c r="G1228" s="32"/>
      <c r="H1228" s="32" t="str">
        <f>IF(LEFT('PL1(Full)'!$F1228,4)="Thôn","Thôn","Tổ")</f>
        <v>Tổ</v>
      </c>
      <c r="I1228" s="36">
        <v>88</v>
      </c>
      <c r="J1228" s="36">
        <v>365</v>
      </c>
      <c r="K1228" s="36">
        <v>69</v>
      </c>
      <c r="L1228" s="37">
        <f t="shared" si="0"/>
        <v>78.409090909090907</v>
      </c>
      <c r="M1228" s="35">
        <v>1</v>
      </c>
      <c r="N1228" s="38">
        <f t="shared" si="1"/>
        <v>1.1363636363636365</v>
      </c>
      <c r="O1228" s="35">
        <v>0</v>
      </c>
      <c r="P1228" s="38">
        <f t="shared" si="2"/>
        <v>0</v>
      </c>
      <c r="Q1228" s="76" t="s">
        <v>63</v>
      </c>
      <c r="R1228" s="76" t="str">
        <f t="shared" si="3"/>
        <v>X</v>
      </c>
      <c r="S1228" s="77"/>
      <c r="T1228" s="34" t="str">
        <f>IF('PL1(Full)'!$N1228&gt;=20,"x",IF(AND('PL1(Full)'!$N1228&gt;=15,'PL1(Full)'!$P1228&gt;60),"x",""))</f>
        <v/>
      </c>
      <c r="U1228" s="34" t="str">
        <f>IF(AND('PL1(Full)'!$H1228="Thôn",'PL1(Full)'!$I1228&lt;75),"x",IF(AND('PL1(Full)'!$H1228="Tổ",'PL1(Full)'!$I1228&lt;100),"x","-"))</f>
        <v>x</v>
      </c>
      <c r="V1228" s="34" t="str">
        <f>IF(AND('PL1(Full)'!$H1228="Thôn",'PL1(Full)'!$I1228&lt;140),"x",IF(AND('PL1(Full)'!$H1228="Tổ",'PL1(Full)'!$I1228&lt;210),"x","-"))</f>
        <v>x</v>
      </c>
      <c r="W1228" s="40" t="str">
        <f t="shared" si="201"/>
        <v>Loại 3</v>
      </c>
      <c r="X1228" s="32"/>
    </row>
    <row r="1229" spans="1:24" ht="15.75" hidden="1">
      <c r="A1229" s="30">
        <f>_xlfn.AGGREGATE(4,7,A$6:A1228)+1</f>
        <v>917</v>
      </c>
      <c r="B1229" s="31" t="str">
        <f t="shared" si="219"/>
        <v>TP. Bắc Kạn</v>
      </c>
      <c r="C1229" s="66" t="str">
        <f t="shared" si="221"/>
        <v>P. NT Minh Khai</v>
      </c>
      <c r="D1229" s="32"/>
      <c r="E1229" s="32" t="s">
        <v>36</v>
      </c>
      <c r="F1229" s="66" t="s">
        <v>425</v>
      </c>
      <c r="G1229" s="32"/>
      <c r="H1229" s="32" t="str">
        <f>IF(LEFT('PL1(Full)'!$F1229,4)="Thôn","Thôn","Tổ")</f>
        <v>Tổ</v>
      </c>
      <c r="I1229" s="36">
        <v>131</v>
      </c>
      <c r="J1229" s="36">
        <v>433</v>
      </c>
      <c r="K1229" s="36">
        <v>72</v>
      </c>
      <c r="L1229" s="37">
        <f t="shared" si="0"/>
        <v>54.961832061068705</v>
      </c>
      <c r="M1229" s="35">
        <v>2</v>
      </c>
      <c r="N1229" s="38">
        <f t="shared" si="1"/>
        <v>1.5267175572519085</v>
      </c>
      <c r="O1229" s="35">
        <v>0</v>
      </c>
      <c r="P1229" s="38">
        <f t="shared" si="2"/>
        <v>0</v>
      </c>
      <c r="Q1229" s="76" t="s">
        <v>63</v>
      </c>
      <c r="R1229" s="76" t="str">
        <f t="shared" si="3"/>
        <v>X</v>
      </c>
      <c r="S1229" s="77"/>
      <c r="T1229" s="34" t="str">
        <f>IF('PL1(Full)'!$N1229&gt;=20,"x",IF(AND('PL1(Full)'!$N1229&gt;=15,'PL1(Full)'!$P1229&gt;60),"x",""))</f>
        <v/>
      </c>
      <c r="U1229" s="34" t="str">
        <f>IF(AND('PL1(Full)'!$H1229="Thôn",'PL1(Full)'!$I1229&lt;75),"x",IF(AND('PL1(Full)'!$H1229="Tổ",'PL1(Full)'!$I1229&lt;100),"x","-"))</f>
        <v>-</v>
      </c>
      <c r="V1229" s="34" t="str">
        <f>IF(AND('PL1(Full)'!$H1229="Thôn",'PL1(Full)'!$I1229&lt;140),"x",IF(AND('PL1(Full)'!$H1229="Tổ",'PL1(Full)'!$I1229&lt;210),"x","-"))</f>
        <v>x</v>
      </c>
      <c r="W1229" s="40" t="str">
        <f t="shared" si="201"/>
        <v>Loại 3</v>
      </c>
      <c r="X1229" s="32"/>
    </row>
    <row r="1230" spans="1:24" ht="15.75">
      <c r="A1230" s="30">
        <f>_xlfn.AGGREGATE(4,7,A$6:A1229)+1</f>
        <v>917</v>
      </c>
      <c r="B1230" s="31" t="str">
        <f t="shared" si="219"/>
        <v>TP. Bắc Kạn</v>
      </c>
      <c r="C1230" s="66" t="str">
        <f t="shared" si="221"/>
        <v>P. NT Minh Khai</v>
      </c>
      <c r="D1230" s="32"/>
      <c r="E1230" s="32" t="s">
        <v>36</v>
      </c>
      <c r="F1230" s="66" t="s">
        <v>426</v>
      </c>
      <c r="G1230" s="32"/>
      <c r="H1230" s="32" t="str">
        <f>IF(LEFT('PL1(Full)'!$F1230,4)="Thôn","Thôn","Tổ")</f>
        <v>Tổ</v>
      </c>
      <c r="I1230" s="36">
        <v>88</v>
      </c>
      <c r="J1230" s="36">
        <v>336</v>
      </c>
      <c r="K1230" s="36">
        <v>34</v>
      </c>
      <c r="L1230" s="37">
        <f t="shared" si="0"/>
        <v>38.636363636363633</v>
      </c>
      <c r="M1230" s="36">
        <v>2</v>
      </c>
      <c r="N1230" s="38">
        <f t="shared" si="1"/>
        <v>2.2727272727272729</v>
      </c>
      <c r="O1230" s="36">
        <v>0</v>
      </c>
      <c r="P1230" s="38">
        <f t="shared" si="2"/>
        <v>0</v>
      </c>
      <c r="Q1230" s="76" t="s">
        <v>63</v>
      </c>
      <c r="R1230" s="76" t="str">
        <f t="shared" si="3"/>
        <v>X</v>
      </c>
      <c r="S1230" s="77"/>
      <c r="T1230" s="34" t="str">
        <f>IF('PL1(Full)'!$N1230&gt;=20,"x",IF(AND('PL1(Full)'!$N1230&gt;=15,'PL1(Full)'!$P1230&gt;60),"x",""))</f>
        <v/>
      </c>
      <c r="U1230" s="34" t="str">
        <f>IF(AND('PL1(Full)'!$H1230="Thôn",'PL1(Full)'!$I1230&lt;75),"x",IF(AND('PL1(Full)'!$H1230="Tổ",'PL1(Full)'!$I1230&lt;100),"x","-"))</f>
        <v>x</v>
      </c>
      <c r="V1230" s="34" t="str">
        <f>IF(AND('PL1(Full)'!$H1230="Thôn",'PL1(Full)'!$I1230&lt;140),"x",IF(AND('PL1(Full)'!$H1230="Tổ",'PL1(Full)'!$I1230&lt;210),"x","-"))</f>
        <v>x</v>
      </c>
      <c r="W1230" s="40" t="str">
        <f t="shared" si="201"/>
        <v>Loại 3</v>
      </c>
      <c r="X1230" s="34"/>
    </row>
    <row r="1231" spans="1:24" ht="15.75">
      <c r="A1231" s="30">
        <f>_xlfn.AGGREGATE(4,7,A$6:A1230)+1</f>
        <v>918</v>
      </c>
      <c r="B1231" s="31" t="str">
        <f t="shared" si="219"/>
        <v>TP. Bắc Kạn</v>
      </c>
      <c r="C1231" s="66" t="str">
        <f t="shared" si="221"/>
        <v>P. NT Minh Khai</v>
      </c>
      <c r="D1231" s="32"/>
      <c r="E1231" s="32" t="s">
        <v>36</v>
      </c>
      <c r="F1231" s="66" t="s">
        <v>1273</v>
      </c>
      <c r="G1231" s="32"/>
      <c r="H1231" s="32" t="str">
        <f>IF(LEFT('PL1(Full)'!$F1231,4)="Thôn","Thôn","Tổ")</f>
        <v>Tổ</v>
      </c>
      <c r="I1231" s="36">
        <v>50</v>
      </c>
      <c r="J1231" s="36">
        <v>185</v>
      </c>
      <c r="K1231" s="36">
        <v>26</v>
      </c>
      <c r="L1231" s="37">
        <f t="shared" si="0"/>
        <v>52</v>
      </c>
      <c r="M1231" s="36">
        <v>0</v>
      </c>
      <c r="N1231" s="38">
        <f t="shared" si="1"/>
        <v>0</v>
      </c>
      <c r="O1231" s="36">
        <v>0</v>
      </c>
      <c r="P1231" s="38">
        <f t="shared" si="2"/>
        <v>0</v>
      </c>
      <c r="Q1231" s="76" t="s">
        <v>150</v>
      </c>
      <c r="R1231" s="76" t="str">
        <f t="shared" si="3"/>
        <v>X</v>
      </c>
      <c r="S1231" s="77"/>
      <c r="T1231" s="34"/>
      <c r="U1231" s="34" t="str">
        <f>IF(AND('PL1(Full)'!$H1231="Thôn",'PL1(Full)'!$I1231&lt;75),"x",IF(AND('PL1(Full)'!$H1231="Tổ",'PL1(Full)'!$I1231&lt;100),"x","-"))</f>
        <v>x</v>
      </c>
      <c r="V1231" s="34" t="str">
        <f>IF(AND('PL1(Full)'!$H1231="Thôn",'PL1(Full)'!$I1231&lt;140),"x",IF(AND('PL1(Full)'!$H1231="Tổ",'PL1(Full)'!$I1231&lt;210),"x","-"))</f>
        <v>x</v>
      </c>
      <c r="W1231" s="40" t="str">
        <f t="shared" si="201"/>
        <v>Loại 3</v>
      </c>
      <c r="X1231" s="34"/>
    </row>
    <row r="1232" spans="1:24" ht="15.75">
      <c r="A1232" s="30">
        <f>_xlfn.AGGREGATE(4,7,A$6:A1231)+1</f>
        <v>919</v>
      </c>
      <c r="B1232" s="31" t="str">
        <f t="shared" si="219"/>
        <v>TP. Bắc Kạn</v>
      </c>
      <c r="C1232" s="66" t="str">
        <f t="shared" si="221"/>
        <v>P. NT Minh Khai</v>
      </c>
      <c r="D1232" s="32"/>
      <c r="E1232" s="32" t="s">
        <v>36</v>
      </c>
      <c r="F1232" s="66" t="s">
        <v>429</v>
      </c>
      <c r="G1232" s="32"/>
      <c r="H1232" s="32" t="str">
        <f>IF(LEFT('PL1(Full)'!$F1232,4)="Thôn","Thôn","Tổ")</f>
        <v>Tổ</v>
      </c>
      <c r="I1232" s="36">
        <v>90</v>
      </c>
      <c r="J1232" s="36">
        <v>328</v>
      </c>
      <c r="K1232" s="36">
        <v>67</v>
      </c>
      <c r="L1232" s="37">
        <f t="shared" si="0"/>
        <v>74.444444444444443</v>
      </c>
      <c r="M1232" s="36">
        <v>0</v>
      </c>
      <c r="N1232" s="38">
        <f t="shared" si="1"/>
        <v>0</v>
      </c>
      <c r="O1232" s="36">
        <v>0</v>
      </c>
      <c r="P1232" s="38">
        <f t="shared" si="2"/>
        <v>0</v>
      </c>
      <c r="Q1232" s="76" t="s">
        <v>150</v>
      </c>
      <c r="R1232" s="76" t="str">
        <f t="shared" si="3"/>
        <v>X</v>
      </c>
      <c r="S1232" s="77"/>
      <c r="T1232" s="34"/>
      <c r="U1232" s="34" t="str">
        <f>IF(AND('PL1(Full)'!$H1232="Thôn",'PL1(Full)'!$I1232&lt;75),"x",IF(AND('PL1(Full)'!$H1232="Tổ",'PL1(Full)'!$I1232&lt;100),"x","-"))</f>
        <v>x</v>
      </c>
      <c r="V1232" s="34" t="str">
        <f>IF(AND('PL1(Full)'!$H1232="Thôn",'PL1(Full)'!$I1232&lt;140),"x",IF(AND('PL1(Full)'!$H1232="Tổ",'PL1(Full)'!$I1232&lt;210),"x","-"))</f>
        <v>x</v>
      </c>
      <c r="W1232" s="40" t="str">
        <f t="shared" si="201"/>
        <v>Loại 3</v>
      </c>
      <c r="X1232" s="34"/>
    </row>
    <row r="1233" spans="1:24" ht="15.75" hidden="1">
      <c r="A1233" s="30">
        <f>_xlfn.AGGREGATE(4,7,A$6:A1232)+1</f>
        <v>920</v>
      </c>
      <c r="B1233" s="31" t="str">
        <f t="shared" si="219"/>
        <v>TP. Bắc Kạn</v>
      </c>
      <c r="C1233" s="66" t="str">
        <f t="shared" si="221"/>
        <v>P. NT Minh Khai</v>
      </c>
      <c r="D1233" s="32"/>
      <c r="E1233" s="32" t="s">
        <v>36</v>
      </c>
      <c r="F1233" s="66" t="s">
        <v>430</v>
      </c>
      <c r="G1233" s="32"/>
      <c r="H1233" s="32" t="str">
        <f>IF(LEFT('PL1(Full)'!$F1233,4)="Thôn","Thôn","Tổ")</f>
        <v>Tổ</v>
      </c>
      <c r="I1233" s="36">
        <v>128</v>
      </c>
      <c r="J1233" s="36">
        <v>429</v>
      </c>
      <c r="K1233" s="36">
        <v>57</v>
      </c>
      <c r="L1233" s="37">
        <f t="shared" si="0"/>
        <v>44.53125</v>
      </c>
      <c r="M1233" s="36">
        <v>0</v>
      </c>
      <c r="N1233" s="38">
        <f t="shared" si="1"/>
        <v>0</v>
      </c>
      <c r="O1233" s="36">
        <v>0</v>
      </c>
      <c r="P1233" s="38">
        <f t="shared" si="2"/>
        <v>0</v>
      </c>
      <c r="Q1233" s="76" t="s">
        <v>56</v>
      </c>
      <c r="R1233" s="76" t="str">
        <f t="shared" si="3"/>
        <v>X</v>
      </c>
      <c r="S1233" s="77"/>
      <c r="T1233" s="34"/>
      <c r="U1233" s="34" t="str">
        <f>IF(AND('PL1(Full)'!$H1233="Thôn",'PL1(Full)'!$I1233&lt;75),"x",IF(AND('PL1(Full)'!$H1233="Tổ",'PL1(Full)'!$I1233&lt;100),"x","-"))</f>
        <v>-</v>
      </c>
      <c r="V1233" s="34" t="str">
        <f>IF(AND('PL1(Full)'!$H1233="Thôn",'PL1(Full)'!$I1233&lt;140),"x",IF(AND('PL1(Full)'!$H1233="Tổ",'PL1(Full)'!$I1233&lt;210),"x","-"))</f>
        <v>x</v>
      </c>
      <c r="W1233" s="40" t="str">
        <f t="shared" si="201"/>
        <v>Loại 3</v>
      </c>
      <c r="X1233" s="34"/>
    </row>
    <row r="1234" spans="1:24" ht="15.75" hidden="1">
      <c r="A1234" s="41">
        <f>_xlfn.AGGREGATE(4,7,A$6:A1233)+1</f>
        <v>920</v>
      </c>
      <c r="B1234" s="42" t="str">
        <f t="shared" si="219"/>
        <v>TP. Bắc Kạn</v>
      </c>
      <c r="C1234" s="67" t="str">
        <f t="shared" si="221"/>
        <v>P. NT Minh Khai</v>
      </c>
      <c r="D1234" s="43"/>
      <c r="E1234" s="43" t="s">
        <v>36</v>
      </c>
      <c r="F1234" s="67" t="s">
        <v>431</v>
      </c>
      <c r="G1234" s="43"/>
      <c r="H1234" s="43" t="str">
        <f>IF(LEFT('PL1(Full)'!$F1234,4)="Thôn","Thôn","Tổ")</f>
        <v>Tổ</v>
      </c>
      <c r="I1234" s="46">
        <v>191</v>
      </c>
      <c r="J1234" s="46">
        <v>747</v>
      </c>
      <c r="K1234" s="46">
        <v>154</v>
      </c>
      <c r="L1234" s="47">
        <f t="shared" si="0"/>
        <v>80.6282722513089</v>
      </c>
      <c r="M1234" s="46">
        <v>0</v>
      </c>
      <c r="N1234" s="48">
        <f t="shared" si="1"/>
        <v>0</v>
      </c>
      <c r="O1234" s="46">
        <v>0</v>
      </c>
      <c r="P1234" s="48">
        <f t="shared" si="2"/>
        <v>0</v>
      </c>
      <c r="Q1234" s="78" t="s">
        <v>47</v>
      </c>
      <c r="R1234" s="78" t="str">
        <f t="shared" si="3"/>
        <v>X</v>
      </c>
      <c r="S1234" s="79"/>
      <c r="T1234" s="50" t="str">
        <f>IF('PL1(Full)'!$N1234&gt;=20,"x",IF(AND('PL1(Full)'!$N1234&gt;=15,'PL1(Full)'!$P1234&gt;60),"x",""))</f>
        <v/>
      </c>
      <c r="U1234" s="50" t="str">
        <f>IF(AND('PL1(Full)'!$H1234="Thôn",'PL1(Full)'!$I1234&lt;75),"x",IF(AND('PL1(Full)'!$H1234="Tổ",'PL1(Full)'!$I1234&lt;100),"x","-"))</f>
        <v>-</v>
      </c>
      <c r="V1234" s="34" t="str">
        <f>IF(AND('PL1(Full)'!$H1234="Thôn",'PL1(Full)'!$I1234&lt;140),"x",IF(AND('PL1(Full)'!$H1234="Tổ",'PL1(Full)'!$I1234&lt;210),"x","-"))</f>
        <v>x</v>
      </c>
      <c r="W1234" s="51" t="str">
        <f t="shared" si="201"/>
        <v>Loại 2</v>
      </c>
      <c r="X1234" s="50"/>
    </row>
    <row r="1235" spans="1:24" ht="15.75" customHeight="1">
      <c r="A1235" s="52">
        <f>_xlfn.AGGREGATE(4,7,A$6:A1234)+1</f>
        <v>920</v>
      </c>
      <c r="B1235" s="14" t="str">
        <f t="shared" si="219"/>
        <v>TP. Bắc Kạn</v>
      </c>
      <c r="C1235" s="14" t="s">
        <v>1274</v>
      </c>
      <c r="D1235" s="25" t="s">
        <v>36</v>
      </c>
      <c r="E1235" s="25" t="s">
        <v>36</v>
      </c>
      <c r="F1235" s="53" t="s">
        <v>411</v>
      </c>
      <c r="G1235" s="25" t="s">
        <v>40</v>
      </c>
      <c r="H1235" s="25" t="str">
        <f>IF(LEFT('PL1(Full)'!$F1235,4)="Thôn","Thôn","Tổ")</f>
        <v>Tổ</v>
      </c>
      <c r="I1235" s="19">
        <v>98</v>
      </c>
      <c r="J1235" s="20">
        <v>260</v>
      </c>
      <c r="K1235" s="20">
        <v>30</v>
      </c>
      <c r="L1235" s="21">
        <f t="shared" si="0"/>
        <v>30.612244897959183</v>
      </c>
      <c r="M1235" s="19">
        <v>1</v>
      </c>
      <c r="N1235" s="22">
        <f t="shared" si="1"/>
        <v>1.0204081632653061</v>
      </c>
      <c r="O1235" s="20">
        <v>1</v>
      </c>
      <c r="P1235" s="22">
        <f t="shared" si="2"/>
        <v>100</v>
      </c>
      <c r="Q1235" s="23" t="s">
        <v>49</v>
      </c>
      <c r="R1235" s="24" t="str">
        <f t="shared" si="3"/>
        <v>X</v>
      </c>
      <c r="S1235" s="25"/>
      <c r="T1235" s="26" t="str">
        <f>IF('PL1(Full)'!$N1235&gt;=20,"x",IF(AND('PL1(Full)'!$N1235&gt;=15,'PL1(Full)'!$P1235&gt;60),"x",""))</f>
        <v/>
      </c>
      <c r="U1235" s="27" t="str">
        <f>IF(AND('PL1(Full)'!$H1235="Thôn",'PL1(Full)'!$I1235&lt;75),"x",IF(AND('PL1(Full)'!$H1235="Tổ",'PL1(Full)'!$I1235&lt;100),"x","-"))</f>
        <v>x</v>
      </c>
      <c r="V1235" s="28" t="str">
        <f>IF(AND('PL1(Full)'!$H1235="Thôn",'PL1(Full)'!$I1235&lt;140),"x",IF(AND('PL1(Full)'!$H1235="Tổ",'PL1(Full)'!$I1235&lt;210),"x","-"))</f>
        <v>x</v>
      </c>
      <c r="W1235" s="29" t="str">
        <f t="shared" si="201"/>
        <v>Loại 3</v>
      </c>
      <c r="X1235" s="25"/>
    </row>
    <row r="1236" spans="1:24" ht="15.75" customHeight="1">
      <c r="A1236" s="30">
        <f>_xlfn.AGGREGATE(4,7,A$6:A1235)+1</f>
        <v>921</v>
      </c>
      <c r="B1236" s="31" t="str">
        <f t="shared" si="219"/>
        <v>TP. Bắc Kạn</v>
      </c>
      <c r="C1236" s="152" t="str">
        <f t="shared" ref="C1236:C1246" si="222">C1235</f>
        <v>P. Phùng Chí Kiên</v>
      </c>
      <c r="D1236" s="34"/>
      <c r="E1236" s="34" t="s">
        <v>36</v>
      </c>
      <c r="F1236" s="54" t="s">
        <v>639</v>
      </c>
      <c r="G1236" s="34"/>
      <c r="H1236" s="34" t="str">
        <f>IF(LEFT('PL1(Full)'!$F1236,4)="Thôn","Thôn","Tổ")</f>
        <v>Tổ</v>
      </c>
      <c r="I1236" s="35">
        <v>70</v>
      </c>
      <c r="J1236" s="36">
        <v>274</v>
      </c>
      <c r="K1236" s="36">
        <v>14</v>
      </c>
      <c r="L1236" s="37">
        <f t="shared" si="0"/>
        <v>20</v>
      </c>
      <c r="M1236" s="35">
        <v>1</v>
      </c>
      <c r="N1236" s="38">
        <f t="shared" si="1"/>
        <v>1.4285714285714286</v>
      </c>
      <c r="O1236" s="36">
        <v>0</v>
      </c>
      <c r="P1236" s="38">
        <f t="shared" si="2"/>
        <v>0</v>
      </c>
      <c r="Q1236" s="39" t="s">
        <v>56</v>
      </c>
      <c r="R1236" s="39" t="str">
        <f t="shared" si="3"/>
        <v>X</v>
      </c>
      <c r="S1236" s="34"/>
      <c r="T1236" s="34" t="str">
        <f>IF('PL1(Full)'!$N1236&gt;=20,"x",IF(AND('PL1(Full)'!$N1236&gt;=15,'PL1(Full)'!$P1236&gt;60),"x",""))</f>
        <v/>
      </c>
      <c r="U1236" s="34" t="str">
        <f>IF(AND('PL1(Full)'!$H1236="Thôn",'PL1(Full)'!$I1236&lt;75),"x",IF(AND('PL1(Full)'!$H1236="Tổ",'PL1(Full)'!$I1236&lt;100),"x","-"))</f>
        <v>x</v>
      </c>
      <c r="V1236" s="34" t="str">
        <f>IF(AND('PL1(Full)'!$H1236="Thôn",'PL1(Full)'!$I1236&lt;140),"x",IF(AND('PL1(Full)'!$H1236="Tổ",'PL1(Full)'!$I1236&lt;210),"x","-"))</f>
        <v>x</v>
      </c>
      <c r="W1236" s="40" t="str">
        <f t="shared" si="201"/>
        <v>Loại 3</v>
      </c>
      <c r="X1236" s="34"/>
    </row>
    <row r="1237" spans="1:24" ht="15.75" hidden="1" customHeight="1">
      <c r="A1237" s="30">
        <f>_xlfn.AGGREGATE(4,7,A$6:A1236)+1</f>
        <v>922</v>
      </c>
      <c r="B1237" s="31" t="str">
        <f t="shared" si="219"/>
        <v>TP. Bắc Kạn</v>
      </c>
      <c r="C1237" s="152" t="str">
        <f t="shared" si="222"/>
        <v>P. Phùng Chí Kiên</v>
      </c>
      <c r="D1237" s="34"/>
      <c r="E1237" s="34" t="s">
        <v>36</v>
      </c>
      <c r="F1237" s="54" t="s">
        <v>414</v>
      </c>
      <c r="G1237" s="34" t="s">
        <v>40</v>
      </c>
      <c r="H1237" s="34" t="str">
        <f>IF(LEFT('PL1(Full)'!$F1237,4)="Thôn","Thôn","Tổ")</f>
        <v>Tổ</v>
      </c>
      <c r="I1237" s="35">
        <v>110</v>
      </c>
      <c r="J1237" s="36">
        <v>310</v>
      </c>
      <c r="K1237" s="36">
        <v>33</v>
      </c>
      <c r="L1237" s="37">
        <f t="shared" si="0"/>
        <v>30</v>
      </c>
      <c r="M1237" s="35">
        <v>0</v>
      </c>
      <c r="N1237" s="38">
        <f t="shared" si="1"/>
        <v>0</v>
      </c>
      <c r="O1237" s="36">
        <v>0</v>
      </c>
      <c r="P1237" s="38">
        <f t="shared" si="2"/>
        <v>0</v>
      </c>
      <c r="Q1237" s="39" t="s">
        <v>47</v>
      </c>
      <c r="R1237" s="39" t="str">
        <f t="shared" si="3"/>
        <v>X</v>
      </c>
      <c r="S1237" s="34"/>
      <c r="T1237" s="34" t="str">
        <f>IF('PL1(Full)'!$N1237&gt;=20,"x",IF(AND('PL1(Full)'!$N1237&gt;=15,'PL1(Full)'!$P1237&gt;60),"x",""))</f>
        <v/>
      </c>
      <c r="U1237" s="34" t="str">
        <f>IF(AND('PL1(Full)'!$H1237="Thôn",'PL1(Full)'!$I1237&lt;75),"x",IF(AND('PL1(Full)'!$H1237="Tổ",'PL1(Full)'!$I1237&lt;100),"x","-"))</f>
        <v>-</v>
      </c>
      <c r="V1237" s="34" t="str">
        <f>IF(AND('PL1(Full)'!$H1237="Thôn",'PL1(Full)'!$I1237&lt;140),"x",IF(AND('PL1(Full)'!$H1237="Tổ",'PL1(Full)'!$I1237&lt;210),"x","-"))</f>
        <v>x</v>
      </c>
      <c r="W1237" s="40" t="str">
        <f t="shared" si="201"/>
        <v>Loại 3</v>
      </c>
      <c r="X1237" s="34"/>
    </row>
    <row r="1238" spans="1:24" ht="15.75" hidden="1" customHeight="1">
      <c r="A1238" s="30">
        <f>_xlfn.AGGREGATE(4,7,A$6:A1237)+1</f>
        <v>922</v>
      </c>
      <c r="B1238" s="31" t="str">
        <f t="shared" si="219"/>
        <v>TP. Bắc Kạn</v>
      </c>
      <c r="C1238" s="152" t="str">
        <f t="shared" si="222"/>
        <v>P. Phùng Chí Kiên</v>
      </c>
      <c r="D1238" s="34"/>
      <c r="E1238" s="34" t="s">
        <v>36</v>
      </c>
      <c r="F1238" s="54" t="s">
        <v>416</v>
      </c>
      <c r="G1238" s="34"/>
      <c r="H1238" s="34" t="str">
        <f>IF(LEFT('PL1(Full)'!$F1238,4)="Thôn","Thôn","Tổ")</f>
        <v>Tổ</v>
      </c>
      <c r="I1238" s="35">
        <v>300</v>
      </c>
      <c r="J1238" s="36">
        <v>855</v>
      </c>
      <c r="K1238" s="36">
        <v>140</v>
      </c>
      <c r="L1238" s="37">
        <f t="shared" si="0"/>
        <v>46.666666666666664</v>
      </c>
      <c r="M1238" s="35">
        <v>0</v>
      </c>
      <c r="N1238" s="38">
        <f t="shared" si="1"/>
        <v>0</v>
      </c>
      <c r="O1238" s="36">
        <v>0</v>
      </c>
      <c r="P1238" s="38">
        <f t="shared" si="2"/>
        <v>0</v>
      </c>
      <c r="Q1238" s="39" t="s">
        <v>796</v>
      </c>
      <c r="R1238" s="39" t="str">
        <f t="shared" si="3"/>
        <v>X</v>
      </c>
      <c r="S1238" s="34"/>
      <c r="T1238" s="34" t="str">
        <f>IF('PL1(Full)'!$N1238&gt;=20,"x",IF(AND('PL1(Full)'!$N1238&gt;=15,'PL1(Full)'!$P1238&gt;60),"x",""))</f>
        <v/>
      </c>
      <c r="U1238" s="34" t="str">
        <f>IF(AND('PL1(Full)'!$H1238="Thôn",'PL1(Full)'!$I1238&lt;75),"x",IF(AND('PL1(Full)'!$H1238="Tổ",'PL1(Full)'!$I1238&lt;100),"x","-"))</f>
        <v>-</v>
      </c>
      <c r="V1238" s="34" t="str">
        <f>IF(AND('PL1(Full)'!$H1238="Thôn",'PL1(Full)'!$I1238&lt;140),"x",IF(AND('PL1(Full)'!$H1238="Tổ",'PL1(Full)'!$I1238&lt;210),"x","-"))</f>
        <v>-</v>
      </c>
      <c r="W1238" s="40" t="str">
        <f t="shared" si="201"/>
        <v>Loại 1</v>
      </c>
      <c r="X1238" s="34"/>
    </row>
    <row r="1239" spans="1:24" ht="15.75" customHeight="1">
      <c r="A1239" s="30">
        <f>_xlfn.AGGREGATE(4,7,A$6:A1238)+1</f>
        <v>922</v>
      </c>
      <c r="B1239" s="31" t="str">
        <f t="shared" si="219"/>
        <v>TP. Bắc Kạn</v>
      </c>
      <c r="C1239" s="152" t="str">
        <f t="shared" si="222"/>
        <v>P. Phùng Chí Kiên</v>
      </c>
      <c r="D1239" s="34"/>
      <c r="E1239" s="34" t="s">
        <v>36</v>
      </c>
      <c r="F1239" s="54" t="s">
        <v>640</v>
      </c>
      <c r="G1239" s="34" t="s">
        <v>40</v>
      </c>
      <c r="H1239" s="34" t="str">
        <f>IF(LEFT('PL1(Full)'!$F1239,4)="Thôn","Thôn","Tổ")</f>
        <v>Tổ</v>
      </c>
      <c r="I1239" s="35">
        <v>52</v>
      </c>
      <c r="J1239" s="36">
        <v>207</v>
      </c>
      <c r="K1239" s="36">
        <v>10</v>
      </c>
      <c r="L1239" s="37">
        <f t="shared" si="0"/>
        <v>19.23076923076923</v>
      </c>
      <c r="M1239" s="35">
        <v>1</v>
      </c>
      <c r="N1239" s="38">
        <f t="shared" si="1"/>
        <v>1.9230769230769231</v>
      </c>
      <c r="O1239" s="36">
        <v>0</v>
      </c>
      <c r="P1239" s="38">
        <f t="shared" si="2"/>
        <v>0</v>
      </c>
      <c r="Q1239" s="39" t="s">
        <v>49</v>
      </c>
      <c r="R1239" s="39" t="str">
        <f t="shared" si="3"/>
        <v>X</v>
      </c>
      <c r="S1239" s="34"/>
      <c r="T1239" s="34" t="str">
        <f>IF('PL1(Full)'!$N1239&gt;=20,"x",IF(AND('PL1(Full)'!$N1239&gt;=15,'PL1(Full)'!$P1239&gt;60),"x",""))</f>
        <v/>
      </c>
      <c r="U1239" s="34" t="str">
        <f>IF(AND('PL1(Full)'!$H1239="Thôn",'PL1(Full)'!$I1239&lt;75),"x",IF(AND('PL1(Full)'!$H1239="Tổ",'PL1(Full)'!$I1239&lt;100),"x","-"))</f>
        <v>x</v>
      </c>
      <c r="V1239" s="34" t="str">
        <f>IF(AND('PL1(Full)'!$H1239="Thôn",'PL1(Full)'!$I1239&lt;140),"x",IF(AND('PL1(Full)'!$H1239="Tổ",'PL1(Full)'!$I1239&lt;210),"x","-"))</f>
        <v>x</v>
      </c>
      <c r="W1239" s="40" t="str">
        <f t="shared" si="201"/>
        <v>Loại 3</v>
      </c>
      <c r="X1239" s="34"/>
    </row>
    <row r="1240" spans="1:24" ht="15.75" hidden="1" customHeight="1">
      <c r="A1240" s="30">
        <f>_xlfn.AGGREGATE(4,7,A$6:A1239)+1</f>
        <v>923</v>
      </c>
      <c r="B1240" s="31" t="str">
        <f t="shared" si="219"/>
        <v>TP. Bắc Kạn</v>
      </c>
      <c r="C1240" s="152" t="str">
        <f t="shared" si="222"/>
        <v>P. Phùng Chí Kiên</v>
      </c>
      <c r="D1240" s="34"/>
      <c r="E1240" s="34" t="s">
        <v>36</v>
      </c>
      <c r="F1240" s="54" t="s">
        <v>419</v>
      </c>
      <c r="G1240" s="34" t="s">
        <v>40</v>
      </c>
      <c r="H1240" s="34" t="str">
        <f>IF(LEFT('PL1(Full)'!$F1240,4)="Thôn","Thôn","Tổ")</f>
        <v>Tổ</v>
      </c>
      <c r="I1240" s="35">
        <v>157</v>
      </c>
      <c r="J1240" s="36">
        <v>535</v>
      </c>
      <c r="K1240" s="36">
        <v>50</v>
      </c>
      <c r="L1240" s="37">
        <f t="shared" si="0"/>
        <v>31.847133757961782</v>
      </c>
      <c r="M1240" s="35">
        <v>2</v>
      </c>
      <c r="N1240" s="38">
        <f t="shared" si="1"/>
        <v>1.2738853503184713</v>
      </c>
      <c r="O1240" s="36">
        <v>0</v>
      </c>
      <c r="P1240" s="38">
        <f t="shared" si="2"/>
        <v>0</v>
      </c>
      <c r="Q1240" s="39" t="s">
        <v>43</v>
      </c>
      <c r="R1240" s="39" t="str">
        <f t="shared" si="3"/>
        <v>X</v>
      </c>
      <c r="S1240" s="34"/>
      <c r="T1240" s="34" t="str">
        <f>IF('PL1(Full)'!$N1240&gt;=20,"x",IF(AND('PL1(Full)'!$N1240&gt;=15,'PL1(Full)'!$P1240&gt;60),"x",""))</f>
        <v/>
      </c>
      <c r="U1240" s="34" t="str">
        <f>IF(AND('PL1(Full)'!$H1240="Thôn",'PL1(Full)'!$I1240&lt;75),"x",IF(AND('PL1(Full)'!$H1240="Tổ",'PL1(Full)'!$I1240&lt;100),"x","-"))</f>
        <v>-</v>
      </c>
      <c r="V1240" s="34" t="str">
        <f>IF(AND('PL1(Full)'!$H1240="Thôn",'PL1(Full)'!$I1240&lt;140),"x",IF(AND('PL1(Full)'!$H1240="Tổ",'PL1(Full)'!$I1240&lt;210),"x","-"))</f>
        <v>x</v>
      </c>
      <c r="W1240" s="40" t="str">
        <f t="shared" si="201"/>
        <v>Loại 2</v>
      </c>
      <c r="X1240" s="34"/>
    </row>
    <row r="1241" spans="1:24" ht="15.75" hidden="1" customHeight="1">
      <c r="A1241" s="30">
        <f>_xlfn.AGGREGATE(4,7,A$6:A1240)+1</f>
        <v>923</v>
      </c>
      <c r="B1241" s="31" t="str">
        <f t="shared" si="219"/>
        <v>TP. Bắc Kạn</v>
      </c>
      <c r="C1241" s="152" t="str">
        <f t="shared" si="222"/>
        <v>P. Phùng Chí Kiên</v>
      </c>
      <c r="D1241" s="34"/>
      <c r="E1241" s="34" t="s">
        <v>36</v>
      </c>
      <c r="F1241" s="54" t="s">
        <v>1245</v>
      </c>
      <c r="G1241" s="34"/>
      <c r="H1241" s="34" t="str">
        <f>IF(LEFT('PL1(Full)'!$F1241,4)="Thôn","Thôn","Tổ")</f>
        <v>Tổ</v>
      </c>
      <c r="I1241" s="35">
        <v>170</v>
      </c>
      <c r="J1241" s="36">
        <v>744</v>
      </c>
      <c r="K1241" s="36">
        <v>54</v>
      </c>
      <c r="L1241" s="37">
        <f t="shared" si="0"/>
        <v>31.764705882352942</v>
      </c>
      <c r="M1241" s="35">
        <v>0</v>
      </c>
      <c r="N1241" s="38">
        <f t="shared" si="1"/>
        <v>0</v>
      </c>
      <c r="O1241" s="36">
        <v>0</v>
      </c>
      <c r="P1241" s="38">
        <f t="shared" si="2"/>
        <v>0</v>
      </c>
      <c r="Q1241" s="39" t="s">
        <v>45</v>
      </c>
      <c r="R1241" s="39" t="str">
        <f t="shared" si="3"/>
        <v>X</v>
      </c>
      <c r="S1241" s="34"/>
      <c r="T1241" s="34"/>
      <c r="U1241" s="34" t="str">
        <f>IF(AND('PL1(Full)'!$H1241="Thôn",'PL1(Full)'!$I1241&lt;75),"x",IF(AND('PL1(Full)'!$H1241="Tổ",'PL1(Full)'!$I1241&lt;100),"x","-"))</f>
        <v>-</v>
      </c>
      <c r="V1241" s="34" t="str">
        <f>IF(AND('PL1(Full)'!$H1241="Thôn",'PL1(Full)'!$I1241&lt;140),"x",IF(AND('PL1(Full)'!$H1241="Tổ",'PL1(Full)'!$I1241&lt;210),"x","-"))</f>
        <v>x</v>
      </c>
      <c r="W1241" s="40" t="str">
        <f t="shared" si="201"/>
        <v>Loại 2</v>
      </c>
      <c r="X1241" s="34"/>
    </row>
    <row r="1242" spans="1:24" ht="15.75" hidden="1" customHeight="1">
      <c r="A1242" s="30">
        <f>_xlfn.AGGREGATE(4,7,A$6:A1241)+1</f>
        <v>923</v>
      </c>
      <c r="B1242" s="31" t="str">
        <f t="shared" si="219"/>
        <v>TP. Bắc Kạn</v>
      </c>
      <c r="C1242" s="152" t="str">
        <f t="shared" si="222"/>
        <v>P. Phùng Chí Kiên</v>
      </c>
      <c r="D1242" s="34"/>
      <c r="E1242" s="34" t="s">
        <v>36</v>
      </c>
      <c r="F1242" s="54" t="s">
        <v>1246</v>
      </c>
      <c r="G1242" s="34"/>
      <c r="H1242" s="34" t="str">
        <f>IF(LEFT('PL1(Full)'!$F1242,4)="Thôn","Thôn","Tổ")</f>
        <v>Tổ</v>
      </c>
      <c r="I1242" s="35">
        <v>208</v>
      </c>
      <c r="J1242" s="36">
        <v>637</v>
      </c>
      <c r="K1242" s="36">
        <v>83</v>
      </c>
      <c r="L1242" s="37">
        <f t="shared" si="0"/>
        <v>39.903846153846153</v>
      </c>
      <c r="M1242" s="35">
        <v>0</v>
      </c>
      <c r="N1242" s="38">
        <f t="shared" si="1"/>
        <v>0</v>
      </c>
      <c r="O1242" s="36">
        <v>0</v>
      </c>
      <c r="P1242" s="38">
        <f t="shared" si="2"/>
        <v>0</v>
      </c>
      <c r="Q1242" s="39" t="s">
        <v>440</v>
      </c>
      <c r="R1242" s="39" t="str">
        <f t="shared" si="3"/>
        <v>X</v>
      </c>
      <c r="S1242" s="34"/>
      <c r="T1242" s="34"/>
      <c r="U1242" s="34" t="str">
        <f>IF(AND('PL1(Full)'!$H1242="Thôn",'PL1(Full)'!$I1242&lt;75),"x",IF(AND('PL1(Full)'!$H1242="Tổ",'PL1(Full)'!$I1242&lt;100),"x","-"))</f>
        <v>-</v>
      </c>
      <c r="V1242" s="34" t="str">
        <f>IF(AND('PL1(Full)'!$H1242="Thôn",'PL1(Full)'!$I1242&lt;140),"x",IF(AND('PL1(Full)'!$H1242="Tổ",'PL1(Full)'!$I1242&lt;210),"x","-"))</f>
        <v>x</v>
      </c>
      <c r="W1242" s="40" t="str">
        <f t="shared" si="201"/>
        <v>Loại 1</v>
      </c>
      <c r="X1242" s="34"/>
    </row>
    <row r="1243" spans="1:24" ht="15.75" hidden="1" customHeight="1">
      <c r="A1243" s="30">
        <f>_xlfn.AGGREGATE(4,7,A$6:A1242)+1</f>
        <v>923</v>
      </c>
      <c r="B1243" s="31" t="str">
        <f t="shared" si="219"/>
        <v>TP. Bắc Kạn</v>
      </c>
      <c r="C1243" s="152" t="str">
        <f t="shared" si="222"/>
        <v>P. Phùng Chí Kiên</v>
      </c>
      <c r="D1243" s="34"/>
      <c r="E1243" s="34" t="s">
        <v>36</v>
      </c>
      <c r="F1243" s="54" t="s">
        <v>421</v>
      </c>
      <c r="G1243" s="34"/>
      <c r="H1243" s="34" t="str">
        <f>IF(LEFT('PL1(Full)'!$F1243,4)="Thôn","Thôn","Tổ")</f>
        <v>Tổ</v>
      </c>
      <c r="I1243" s="35">
        <v>249</v>
      </c>
      <c r="J1243" s="36">
        <v>1100</v>
      </c>
      <c r="K1243" s="36">
        <v>74</v>
      </c>
      <c r="L1243" s="37">
        <f t="shared" si="0"/>
        <v>29.718875502008032</v>
      </c>
      <c r="M1243" s="35">
        <v>2</v>
      </c>
      <c r="N1243" s="38">
        <f t="shared" si="1"/>
        <v>0.80321285140562249</v>
      </c>
      <c r="O1243" s="36">
        <v>0</v>
      </c>
      <c r="P1243" s="38">
        <f t="shared" si="2"/>
        <v>0</v>
      </c>
      <c r="Q1243" s="39" t="s">
        <v>1275</v>
      </c>
      <c r="R1243" s="39" t="str">
        <f t="shared" si="3"/>
        <v>X</v>
      </c>
      <c r="S1243" s="34"/>
      <c r="T1243" s="34" t="str">
        <f>IF('PL1(Full)'!$N1243&gt;=20,"x",IF(AND('PL1(Full)'!$N1243&gt;=15,'PL1(Full)'!$P1243&gt;60),"x",""))</f>
        <v/>
      </c>
      <c r="U1243" s="34" t="str">
        <f>IF(AND('PL1(Full)'!$H1243="Thôn",'PL1(Full)'!$I1243&lt;75),"x",IF(AND('PL1(Full)'!$H1243="Tổ",'PL1(Full)'!$I1243&lt;100),"x","-"))</f>
        <v>-</v>
      </c>
      <c r="V1243" s="34" t="str">
        <f>IF(AND('PL1(Full)'!$H1243="Thôn",'PL1(Full)'!$I1243&lt;140),"x",IF(AND('PL1(Full)'!$H1243="Tổ",'PL1(Full)'!$I1243&lt;210),"x","-"))</f>
        <v>-</v>
      </c>
      <c r="W1243" s="40" t="str">
        <f t="shared" si="201"/>
        <v>Loại 1</v>
      </c>
      <c r="X1243" s="34"/>
    </row>
    <row r="1244" spans="1:24" ht="15.75" hidden="1" customHeight="1">
      <c r="A1244" s="30">
        <f>_xlfn.AGGREGATE(4,7,A$6:A1243)+1</f>
        <v>923</v>
      </c>
      <c r="B1244" s="31" t="str">
        <f t="shared" si="219"/>
        <v>TP. Bắc Kạn</v>
      </c>
      <c r="C1244" s="152" t="str">
        <f t="shared" si="222"/>
        <v>P. Phùng Chí Kiên</v>
      </c>
      <c r="D1244" s="34"/>
      <c r="E1244" s="34" t="s">
        <v>36</v>
      </c>
      <c r="F1244" s="54" t="s">
        <v>422</v>
      </c>
      <c r="G1244" s="34"/>
      <c r="H1244" s="34" t="str">
        <f>IF(LEFT('PL1(Full)'!$F1244,4)="Thôn","Thôn","Tổ")</f>
        <v>Tổ</v>
      </c>
      <c r="I1244" s="35">
        <v>278</v>
      </c>
      <c r="J1244" s="36">
        <v>1060</v>
      </c>
      <c r="K1244" s="36">
        <v>111</v>
      </c>
      <c r="L1244" s="37">
        <f t="shared" si="0"/>
        <v>39.928057553956833</v>
      </c>
      <c r="M1244" s="35">
        <v>1</v>
      </c>
      <c r="N1244" s="38">
        <f t="shared" si="1"/>
        <v>0.35971223021582732</v>
      </c>
      <c r="O1244" s="36">
        <v>0</v>
      </c>
      <c r="P1244" s="38">
        <f t="shared" si="2"/>
        <v>0</v>
      </c>
      <c r="Q1244" s="39" t="s">
        <v>440</v>
      </c>
      <c r="R1244" s="39" t="str">
        <f t="shared" si="3"/>
        <v>X</v>
      </c>
      <c r="S1244" s="34"/>
      <c r="T1244" s="34" t="str">
        <f>IF('PL1(Full)'!$N1244&gt;=20,"x",IF(AND('PL1(Full)'!$N1244&gt;=15,'PL1(Full)'!$P1244&gt;60),"x",""))</f>
        <v/>
      </c>
      <c r="U1244" s="34" t="str">
        <f>IF(AND('PL1(Full)'!$H1244="Thôn",'PL1(Full)'!$I1244&lt;75),"x",IF(AND('PL1(Full)'!$H1244="Tổ",'PL1(Full)'!$I1244&lt;100),"x","-"))</f>
        <v>-</v>
      </c>
      <c r="V1244" s="34" t="str">
        <f>IF(AND('PL1(Full)'!$H1244="Thôn",'PL1(Full)'!$I1244&lt;140),"x",IF(AND('PL1(Full)'!$H1244="Tổ",'PL1(Full)'!$I1244&lt;210),"x","-"))</f>
        <v>-</v>
      </c>
      <c r="W1244" s="40" t="str">
        <f t="shared" si="201"/>
        <v>Loại 1</v>
      </c>
      <c r="X1244" s="34"/>
    </row>
    <row r="1245" spans="1:24" ht="15.75" customHeight="1">
      <c r="A1245" s="30">
        <f>_xlfn.AGGREGATE(4,7,A$6:A1244)+1</f>
        <v>923</v>
      </c>
      <c r="B1245" s="31" t="str">
        <f t="shared" si="219"/>
        <v>TP. Bắc Kạn</v>
      </c>
      <c r="C1245" s="152" t="str">
        <f t="shared" si="222"/>
        <v>P. Phùng Chí Kiên</v>
      </c>
      <c r="D1245" s="34"/>
      <c r="E1245" s="34" t="s">
        <v>36</v>
      </c>
      <c r="F1245" s="54" t="s">
        <v>642</v>
      </c>
      <c r="G1245" s="34"/>
      <c r="H1245" s="34" t="str">
        <f>IF(LEFT('PL1(Full)'!$F1245,4)="Thôn","Thôn","Tổ")</f>
        <v>Tổ</v>
      </c>
      <c r="I1245" s="35">
        <v>70</v>
      </c>
      <c r="J1245" s="36">
        <v>241</v>
      </c>
      <c r="K1245" s="36">
        <v>11</v>
      </c>
      <c r="L1245" s="37">
        <f t="shared" si="0"/>
        <v>15.714285714285714</v>
      </c>
      <c r="M1245" s="35">
        <v>1</v>
      </c>
      <c r="N1245" s="38">
        <f t="shared" si="1"/>
        <v>1.4285714285714286</v>
      </c>
      <c r="O1245" s="36">
        <v>0</v>
      </c>
      <c r="P1245" s="38">
        <f t="shared" si="2"/>
        <v>0</v>
      </c>
      <c r="Q1245" s="39" t="s">
        <v>56</v>
      </c>
      <c r="R1245" s="39" t="str">
        <f t="shared" si="3"/>
        <v>X</v>
      </c>
      <c r="S1245" s="34"/>
      <c r="T1245" s="34" t="str">
        <f>IF('PL1(Full)'!$N1245&gt;=20,"x",IF(AND('PL1(Full)'!$N1245&gt;=15,'PL1(Full)'!$P1245&gt;60),"x",""))</f>
        <v/>
      </c>
      <c r="U1245" s="34" t="str">
        <f>IF(AND('PL1(Full)'!$H1245="Thôn",'PL1(Full)'!$I1245&lt;75),"x",IF(AND('PL1(Full)'!$H1245="Tổ",'PL1(Full)'!$I1245&lt;100),"x","-"))</f>
        <v>x</v>
      </c>
      <c r="V1245" s="34" t="str">
        <f>IF(AND('PL1(Full)'!$H1245="Thôn",'PL1(Full)'!$I1245&lt;140),"x",IF(AND('PL1(Full)'!$H1245="Tổ",'PL1(Full)'!$I1245&lt;210),"x","-"))</f>
        <v>x</v>
      </c>
      <c r="W1245" s="40" t="str">
        <f t="shared" si="201"/>
        <v>Loại 3</v>
      </c>
      <c r="X1245" s="34"/>
    </row>
    <row r="1246" spans="1:24" ht="15.75" hidden="1" customHeight="1">
      <c r="A1246" s="41">
        <f>_xlfn.AGGREGATE(4,7,A$6:A1245)+1</f>
        <v>924</v>
      </c>
      <c r="B1246" s="42" t="str">
        <f t="shared" si="219"/>
        <v>TP. Bắc Kạn</v>
      </c>
      <c r="C1246" s="154" t="str">
        <f t="shared" si="222"/>
        <v>P. Phùng Chí Kiên</v>
      </c>
      <c r="D1246" s="50"/>
      <c r="E1246" s="50" t="s">
        <v>36</v>
      </c>
      <c r="F1246" s="55" t="s">
        <v>425</v>
      </c>
      <c r="G1246" s="50"/>
      <c r="H1246" s="50" t="str">
        <f>IF(LEFT('PL1(Full)'!$F1246,4)="Thôn","Thôn","Tổ")</f>
        <v>Tổ</v>
      </c>
      <c r="I1246" s="45">
        <v>285</v>
      </c>
      <c r="J1246" s="46">
        <v>1012</v>
      </c>
      <c r="K1246" s="46">
        <v>142</v>
      </c>
      <c r="L1246" s="47">
        <f t="shared" si="0"/>
        <v>49.824561403508774</v>
      </c>
      <c r="M1246" s="45">
        <v>3</v>
      </c>
      <c r="N1246" s="48">
        <f t="shared" si="1"/>
        <v>1.0526315789473684</v>
      </c>
      <c r="O1246" s="46">
        <v>0</v>
      </c>
      <c r="P1246" s="48">
        <f t="shared" si="2"/>
        <v>0</v>
      </c>
      <c r="Q1246" s="49" t="s">
        <v>49</v>
      </c>
      <c r="R1246" s="49" t="str">
        <f t="shared" si="3"/>
        <v>X</v>
      </c>
      <c r="S1246" s="50"/>
      <c r="T1246" s="50" t="str">
        <f>IF('PL1(Full)'!$N1246&gt;=20,"x",IF(AND('PL1(Full)'!$N1246&gt;=15,'PL1(Full)'!$P1246&gt;60),"x",""))</f>
        <v/>
      </c>
      <c r="U1246" s="50" t="str">
        <f>IF(AND('PL1(Full)'!$H1246="Thôn",'PL1(Full)'!$I1246&lt;75),"x",IF(AND('PL1(Full)'!$H1246="Tổ",'PL1(Full)'!$I1246&lt;100),"x","-"))</f>
        <v>-</v>
      </c>
      <c r="V1246" s="34" t="str">
        <f>IF(AND('PL1(Full)'!$H1246="Thôn",'PL1(Full)'!$I1246&lt;140),"x",IF(AND('PL1(Full)'!$H1246="Tổ",'PL1(Full)'!$I1246&lt;210),"x","-"))</f>
        <v>-</v>
      </c>
      <c r="W1246" s="51" t="str">
        <f t="shared" si="201"/>
        <v>Loại 1</v>
      </c>
      <c r="X1246" s="50"/>
    </row>
    <row r="1247" spans="1:24" ht="15.75" customHeight="1">
      <c r="A1247" s="52">
        <f>_xlfn.AGGREGATE(4,7,A$6:A1246)+1</f>
        <v>924</v>
      </c>
      <c r="B1247" s="14" t="str">
        <f t="shared" si="219"/>
        <v>TP. Bắc Kạn</v>
      </c>
      <c r="C1247" s="14" t="s">
        <v>1276</v>
      </c>
      <c r="D1247" s="25" t="s">
        <v>36</v>
      </c>
      <c r="E1247" s="25" t="s">
        <v>36</v>
      </c>
      <c r="F1247" s="53" t="s">
        <v>411</v>
      </c>
      <c r="G1247" s="25"/>
      <c r="H1247" s="25" t="str">
        <f>IF(LEFT('PL1(Full)'!$F1247,4)="Thôn","Thôn","Tổ")</f>
        <v>Tổ</v>
      </c>
      <c r="I1247" s="20">
        <v>70</v>
      </c>
      <c r="J1247" s="19">
        <v>232</v>
      </c>
      <c r="K1247" s="19">
        <v>30</v>
      </c>
      <c r="L1247" s="21">
        <f t="shared" si="0"/>
        <v>42.857142857142854</v>
      </c>
      <c r="M1247" s="19">
        <v>1</v>
      </c>
      <c r="N1247" s="22">
        <f t="shared" si="1"/>
        <v>1.4285714285714286</v>
      </c>
      <c r="O1247" s="19">
        <v>0</v>
      </c>
      <c r="P1247" s="22">
        <f t="shared" si="2"/>
        <v>0</v>
      </c>
      <c r="Q1247" s="23" t="s">
        <v>63</v>
      </c>
      <c r="R1247" s="24" t="str">
        <f t="shared" si="3"/>
        <v>X</v>
      </c>
      <c r="S1247" s="25"/>
      <c r="T1247" s="26" t="str">
        <f>IF('PL1(Full)'!$N1247&gt;=20,"x",IF(AND('PL1(Full)'!$N1247&gt;=15,'PL1(Full)'!$P1247&gt;60),"x",""))</f>
        <v/>
      </c>
      <c r="U1247" s="27" t="str">
        <f>IF(AND('PL1(Full)'!$H1247="Thôn",'PL1(Full)'!$I1247&lt;75),"x",IF(AND('PL1(Full)'!$H1247="Tổ",'PL1(Full)'!$I1247&lt;100),"x","-"))</f>
        <v>x</v>
      </c>
      <c r="V1247" s="28" t="str">
        <f>IF(AND('PL1(Full)'!$H1247="Thôn",'PL1(Full)'!$I1247&lt;140),"x",IF(AND('PL1(Full)'!$H1247="Tổ",'PL1(Full)'!$I1247&lt;210),"x","-"))</f>
        <v>x</v>
      </c>
      <c r="W1247" s="29" t="str">
        <f t="shared" si="201"/>
        <v>Loại 3</v>
      </c>
      <c r="X1247" s="25"/>
    </row>
    <row r="1248" spans="1:24" ht="15.75" hidden="1" customHeight="1">
      <c r="A1248" s="30">
        <f>_xlfn.AGGREGATE(4,7,A$6:A1247)+1</f>
        <v>925</v>
      </c>
      <c r="B1248" s="31" t="str">
        <f t="shared" si="219"/>
        <v>TP. Bắc Kạn</v>
      </c>
      <c r="C1248" s="66" t="str">
        <f t="shared" ref="C1248:C1267" si="223">C1247</f>
        <v>P. Sông Cầu</v>
      </c>
      <c r="D1248" s="34"/>
      <c r="E1248" s="34" t="s">
        <v>36</v>
      </c>
      <c r="F1248" s="54" t="s">
        <v>639</v>
      </c>
      <c r="G1248" s="34"/>
      <c r="H1248" s="34" t="str">
        <f>IF(LEFT('PL1(Full)'!$F1248,4)="Thôn","Thôn","Tổ")</f>
        <v>Tổ</v>
      </c>
      <c r="I1248" s="35">
        <v>101</v>
      </c>
      <c r="J1248" s="35">
        <v>376</v>
      </c>
      <c r="K1248" s="35">
        <v>40</v>
      </c>
      <c r="L1248" s="37">
        <f t="shared" si="0"/>
        <v>39.603960396039604</v>
      </c>
      <c r="M1248" s="35">
        <v>2</v>
      </c>
      <c r="N1248" s="38">
        <f t="shared" si="1"/>
        <v>1.9801980198019802</v>
      </c>
      <c r="O1248" s="35">
        <v>2</v>
      </c>
      <c r="P1248" s="38">
        <f t="shared" si="2"/>
        <v>100</v>
      </c>
      <c r="Q1248" s="104" t="s">
        <v>338</v>
      </c>
      <c r="R1248" s="104" t="str">
        <f t="shared" si="3"/>
        <v>X</v>
      </c>
      <c r="S1248" s="105"/>
      <c r="T1248" s="34" t="str">
        <f>IF('PL1(Full)'!$N1248&gt;=20,"x",IF(AND('PL1(Full)'!$N1248&gt;=15,'PL1(Full)'!$P1248&gt;60),"x",""))</f>
        <v/>
      </c>
      <c r="U1248" s="34" t="str">
        <f>IF(AND('PL1(Full)'!$H1248="Thôn",'PL1(Full)'!$I1248&lt;75),"x",IF(AND('PL1(Full)'!$H1248="Tổ",'PL1(Full)'!$I1248&lt;100),"x","-"))</f>
        <v>-</v>
      </c>
      <c r="V1248" s="34" t="str">
        <f>IF(AND('PL1(Full)'!$H1248="Thôn",'PL1(Full)'!$I1248&lt;140),"x",IF(AND('PL1(Full)'!$H1248="Tổ",'PL1(Full)'!$I1248&lt;210),"x","-"))</f>
        <v>x</v>
      </c>
      <c r="W1248" s="40" t="str">
        <f t="shared" si="201"/>
        <v>Loại 3</v>
      </c>
      <c r="X1248" s="34"/>
    </row>
    <row r="1249" spans="1:24" ht="15.75" customHeight="1">
      <c r="A1249" s="30">
        <f>_xlfn.AGGREGATE(4,7,A$6:A1248)+1</f>
        <v>925</v>
      </c>
      <c r="B1249" s="31" t="str">
        <f t="shared" si="219"/>
        <v>TP. Bắc Kạn</v>
      </c>
      <c r="C1249" s="66" t="str">
        <f t="shared" si="223"/>
        <v>P. Sông Cầu</v>
      </c>
      <c r="D1249" s="34"/>
      <c r="E1249" s="34" t="s">
        <v>36</v>
      </c>
      <c r="F1249" s="54" t="s">
        <v>414</v>
      </c>
      <c r="G1249" s="34"/>
      <c r="H1249" s="34" t="str">
        <f>IF(LEFT('PL1(Full)'!$F1249,4)="Thôn","Thôn","Tổ")</f>
        <v>Tổ</v>
      </c>
      <c r="I1249" s="35">
        <v>78</v>
      </c>
      <c r="J1249" s="35">
        <v>304</v>
      </c>
      <c r="K1249" s="35">
        <v>34</v>
      </c>
      <c r="L1249" s="37">
        <f t="shared" si="0"/>
        <v>43.589743589743591</v>
      </c>
      <c r="M1249" s="35">
        <v>2</v>
      </c>
      <c r="N1249" s="38">
        <f t="shared" si="1"/>
        <v>2.5641025641025643</v>
      </c>
      <c r="O1249" s="35">
        <v>2</v>
      </c>
      <c r="P1249" s="38">
        <f t="shared" si="2"/>
        <v>100</v>
      </c>
      <c r="Q1249" s="39" t="s">
        <v>63</v>
      </c>
      <c r="R1249" s="39" t="str">
        <f t="shared" si="3"/>
        <v>X</v>
      </c>
      <c r="S1249" s="34"/>
      <c r="T1249" s="34" t="str">
        <f>IF('PL1(Full)'!$N1249&gt;=20,"x",IF(AND('PL1(Full)'!$N1249&gt;=15,'PL1(Full)'!$P1249&gt;60),"x",""))</f>
        <v/>
      </c>
      <c r="U1249" s="34" t="str">
        <f>IF(AND('PL1(Full)'!$H1249="Thôn",'PL1(Full)'!$I1249&lt;75),"x",IF(AND('PL1(Full)'!$H1249="Tổ",'PL1(Full)'!$I1249&lt;100),"x","-"))</f>
        <v>x</v>
      </c>
      <c r="V1249" s="34" t="str">
        <f>IF(AND('PL1(Full)'!$H1249="Thôn",'PL1(Full)'!$I1249&lt;140),"x",IF(AND('PL1(Full)'!$H1249="Tổ",'PL1(Full)'!$I1249&lt;210),"x","-"))</f>
        <v>x</v>
      </c>
      <c r="W1249" s="40" t="str">
        <f t="shared" si="201"/>
        <v>Loại 3</v>
      </c>
      <c r="X1249" s="34"/>
    </row>
    <row r="1250" spans="1:24" ht="15.75" customHeight="1">
      <c r="A1250" s="30">
        <f>_xlfn.AGGREGATE(4,7,A$6:A1249)+1</f>
        <v>926</v>
      </c>
      <c r="B1250" s="31" t="str">
        <f t="shared" si="219"/>
        <v>TP. Bắc Kạn</v>
      </c>
      <c r="C1250" s="66" t="str">
        <f t="shared" si="223"/>
        <v>P. Sông Cầu</v>
      </c>
      <c r="D1250" s="34"/>
      <c r="E1250" s="34" t="s">
        <v>36</v>
      </c>
      <c r="F1250" s="54" t="s">
        <v>415</v>
      </c>
      <c r="G1250" s="34"/>
      <c r="H1250" s="34" t="str">
        <f>IF(LEFT('PL1(Full)'!$F1250,4)="Thôn","Thôn","Tổ")</f>
        <v>Tổ</v>
      </c>
      <c r="I1250" s="35">
        <v>86</v>
      </c>
      <c r="J1250" s="35">
        <v>351</v>
      </c>
      <c r="K1250" s="35">
        <v>36</v>
      </c>
      <c r="L1250" s="37">
        <f t="shared" si="0"/>
        <v>41.860465116279073</v>
      </c>
      <c r="M1250" s="35">
        <v>2</v>
      </c>
      <c r="N1250" s="38">
        <f t="shared" si="1"/>
        <v>2.3255813953488373</v>
      </c>
      <c r="O1250" s="35">
        <v>1</v>
      </c>
      <c r="P1250" s="38">
        <f t="shared" si="2"/>
        <v>50</v>
      </c>
      <c r="Q1250" s="39" t="s">
        <v>47</v>
      </c>
      <c r="R1250" s="39" t="str">
        <f t="shared" si="3"/>
        <v>X</v>
      </c>
      <c r="S1250" s="34"/>
      <c r="T1250" s="34" t="str">
        <f>IF('PL1(Full)'!$N1250&gt;=20,"x",IF(AND('PL1(Full)'!$N1250&gt;=15,'PL1(Full)'!$P1250&gt;60),"x",""))</f>
        <v/>
      </c>
      <c r="U1250" s="34" t="str">
        <f>IF(AND('PL1(Full)'!$H1250="Thôn",'PL1(Full)'!$I1250&lt;75),"x",IF(AND('PL1(Full)'!$H1250="Tổ",'PL1(Full)'!$I1250&lt;100),"x","-"))</f>
        <v>x</v>
      </c>
      <c r="V1250" s="34" t="str">
        <f>IF(AND('PL1(Full)'!$H1250="Thôn",'PL1(Full)'!$I1250&lt;140),"x",IF(AND('PL1(Full)'!$H1250="Tổ",'PL1(Full)'!$I1250&lt;210),"x","-"))</f>
        <v>x</v>
      </c>
      <c r="W1250" s="40" t="str">
        <f t="shared" si="201"/>
        <v>Loại 3</v>
      </c>
      <c r="X1250" s="34"/>
    </row>
    <row r="1251" spans="1:24" ht="15.75" hidden="1" customHeight="1">
      <c r="A1251" s="30">
        <f>_xlfn.AGGREGATE(4,7,A$6:A1250)+1</f>
        <v>927</v>
      </c>
      <c r="B1251" s="31" t="str">
        <f t="shared" si="219"/>
        <v>TP. Bắc Kạn</v>
      </c>
      <c r="C1251" s="66" t="str">
        <f t="shared" si="223"/>
        <v>P. Sông Cầu</v>
      </c>
      <c r="D1251" s="34"/>
      <c r="E1251" s="34" t="s">
        <v>36</v>
      </c>
      <c r="F1251" s="54" t="s">
        <v>416</v>
      </c>
      <c r="G1251" s="34"/>
      <c r="H1251" s="34" t="str">
        <f>IF(LEFT('PL1(Full)'!$F1251,4)="Thôn","Thôn","Tổ")</f>
        <v>Tổ</v>
      </c>
      <c r="I1251" s="35">
        <v>102</v>
      </c>
      <c r="J1251" s="35">
        <v>376</v>
      </c>
      <c r="K1251" s="35">
        <v>38</v>
      </c>
      <c r="L1251" s="37">
        <f t="shared" si="0"/>
        <v>37.254901960784316</v>
      </c>
      <c r="M1251" s="35">
        <v>1</v>
      </c>
      <c r="N1251" s="38">
        <f t="shared" si="1"/>
        <v>0.98039215686274506</v>
      </c>
      <c r="O1251" s="35">
        <v>1</v>
      </c>
      <c r="P1251" s="38">
        <f t="shared" si="2"/>
        <v>100</v>
      </c>
      <c r="Q1251" s="104" t="s">
        <v>338</v>
      </c>
      <c r="R1251" s="104" t="str">
        <f t="shared" si="3"/>
        <v>X</v>
      </c>
      <c r="S1251" s="105"/>
      <c r="T1251" s="34" t="str">
        <f>IF('PL1(Full)'!$N1251&gt;=20,"x",IF(AND('PL1(Full)'!$N1251&gt;=15,'PL1(Full)'!$P1251&gt;60),"x",""))</f>
        <v/>
      </c>
      <c r="U1251" s="34" t="str">
        <f>IF(AND('PL1(Full)'!$H1251="Thôn",'PL1(Full)'!$I1251&lt;75),"x",IF(AND('PL1(Full)'!$H1251="Tổ",'PL1(Full)'!$I1251&lt;100),"x","-"))</f>
        <v>-</v>
      </c>
      <c r="V1251" s="34" t="str">
        <f>IF(AND('PL1(Full)'!$H1251="Thôn",'PL1(Full)'!$I1251&lt;140),"x",IF(AND('PL1(Full)'!$H1251="Tổ",'PL1(Full)'!$I1251&lt;210),"x","-"))</f>
        <v>x</v>
      </c>
      <c r="W1251" s="40" t="str">
        <f t="shared" si="201"/>
        <v>Loại 3</v>
      </c>
      <c r="X1251" s="34"/>
    </row>
    <row r="1252" spans="1:24" ht="15.75" customHeight="1">
      <c r="A1252" s="30">
        <f>_xlfn.AGGREGATE(4,7,A$6:A1251)+1</f>
        <v>927</v>
      </c>
      <c r="B1252" s="31" t="str">
        <f t="shared" si="219"/>
        <v>TP. Bắc Kạn</v>
      </c>
      <c r="C1252" s="66" t="str">
        <f t="shared" si="223"/>
        <v>P. Sông Cầu</v>
      </c>
      <c r="D1252" s="34"/>
      <c r="E1252" s="34" t="s">
        <v>36</v>
      </c>
      <c r="F1252" s="54" t="s">
        <v>640</v>
      </c>
      <c r="G1252" s="34"/>
      <c r="H1252" s="34" t="str">
        <f>IF(LEFT('PL1(Full)'!$F1252,4)="Thôn","Thôn","Tổ")</f>
        <v>Tổ</v>
      </c>
      <c r="I1252" s="35">
        <v>54</v>
      </c>
      <c r="J1252" s="35">
        <v>211</v>
      </c>
      <c r="K1252" s="35">
        <v>23</v>
      </c>
      <c r="L1252" s="37">
        <f t="shared" si="0"/>
        <v>42.592592592592595</v>
      </c>
      <c r="M1252" s="35">
        <v>0</v>
      </c>
      <c r="N1252" s="38">
        <f t="shared" si="1"/>
        <v>0</v>
      </c>
      <c r="O1252" s="35">
        <v>0</v>
      </c>
      <c r="P1252" s="38">
        <f t="shared" si="2"/>
        <v>0</v>
      </c>
      <c r="Q1252" s="39" t="s">
        <v>338</v>
      </c>
      <c r="R1252" s="39" t="str">
        <f t="shared" si="3"/>
        <v>X</v>
      </c>
      <c r="S1252" s="34"/>
      <c r="T1252" s="34" t="str">
        <f>IF('PL1(Full)'!$N1252&gt;=20,"x",IF(AND('PL1(Full)'!$N1252&gt;=15,'PL1(Full)'!$P1252&gt;60),"x",""))</f>
        <v/>
      </c>
      <c r="U1252" s="34" t="str">
        <f>IF(AND('PL1(Full)'!$H1252="Thôn",'PL1(Full)'!$I1252&lt;75),"x",IF(AND('PL1(Full)'!$H1252="Tổ",'PL1(Full)'!$I1252&lt;100),"x","-"))</f>
        <v>x</v>
      </c>
      <c r="V1252" s="34" t="str">
        <f>IF(AND('PL1(Full)'!$H1252="Thôn",'PL1(Full)'!$I1252&lt;140),"x",IF(AND('PL1(Full)'!$H1252="Tổ",'PL1(Full)'!$I1252&lt;210),"x","-"))</f>
        <v>x</v>
      </c>
      <c r="W1252" s="40" t="str">
        <f t="shared" si="201"/>
        <v>Loại 3</v>
      </c>
      <c r="X1252" s="34"/>
    </row>
    <row r="1253" spans="1:24" ht="15.75" hidden="1" customHeight="1">
      <c r="A1253" s="30">
        <f>_xlfn.AGGREGATE(4,7,A$6:A1252)+1</f>
        <v>928</v>
      </c>
      <c r="B1253" s="31" t="str">
        <f t="shared" si="219"/>
        <v>TP. Bắc Kạn</v>
      </c>
      <c r="C1253" s="66" t="str">
        <f t="shared" si="223"/>
        <v>P. Sông Cầu</v>
      </c>
      <c r="D1253" s="34"/>
      <c r="E1253" s="34" t="s">
        <v>36</v>
      </c>
      <c r="F1253" s="54" t="s">
        <v>419</v>
      </c>
      <c r="G1253" s="34"/>
      <c r="H1253" s="34" t="str">
        <f>IF(LEFT('PL1(Full)'!$F1253,4)="Thôn","Thôn","Tổ")</f>
        <v>Tổ</v>
      </c>
      <c r="I1253" s="35">
        <v>118</v>
      </c>
      <c r="J1253" s="35">
        <v>350</v>
      </c>
      <c r="K1253" s="35">
        <v>41</v>
      </c>
      <c r="L1253" s="37">
        <f t="shared" si="0"/>
        <v>34.745762711864408</v>
      </c>
      <c r="M1253" s="35">
        <v>1</v>
      </c>
      <c r="N1253" s="38">
        <f t="shared" si="1"/>
        <v>0.84745762711864403</v>
      </c>
      <c r="O1253" s="35">
        <v>0</v>
      </c>
      <c r="P1253" s="38">
        <f t="shared" si="2"/>
        <v>0</v>
      </c>
      <c r="Q1253" s="39" t="s">
        <v>63</v>
      </c>
      <c r="R1253" s="39" t="str">
        <f t="shared" si="3"/>
        <v>X</v>
      </c>
      <c r="S1253" s="34"/>
      <c r="T1253" s="34" t="str">
        <f>IF('PL1(Full)'!$N1253&gt;=20,"x",IF(AND('PL1(Full)'!$N1253&gt;=15,'PL1(Full)'!$P1253&gt;60),"x",""))</f>
        <v/>
      </c>
      <c r="U1253" s="34" t="str">
        <f>IF(AND('PL1(Full)'!$H1253="Thôn",'PL1(Full)'!$I1253&lt;75),"x",IF(AND('PL1(Full)'!$H1253="Tổ",'PL1(Full)'!$I1253&lt;100),"x","-"))</f>
        <v>-</v>
      </c>
      <c r="V1253" s="34" t="str">
        <f>IF(AND('PL1(Full)'!$H1253="Thôn",'PL1(Full)'!$I1253&lt;140),"x",IF(AND('PL1(Full)'!$H1253="Tổ",'PL1(Full)'!$I1253&lt;210),"x","-"))</f>
        <v>x</v>
      </c>
      <c r="W1253" s="40" t="str">
        <f t="shared" si="201"/>
        <v>Loại 3</v>
      </c>
      <c r="X1253" s="34"/>
    </row>
    <row r="1254" spans="1:24" ht="15.75" hidden="1" customHeight="1">
      <c r="A1254" s="30">
        <f>_xlfn.AGGREGATE(4,7,A$6:A1253)+1</f>
        <v>928</v>
      </c>
      <c r="B1254" s="31" t="str">
        <f t="shared" si="219"/>
        <v>TP. Bắc Kạn</v>
      </c>
      <c r="C1254" s="66" t="str">
        <f t="shared" si="223"/>
        <v>P. Sông Cầu</v>
      </c>
      <c r="D1254" s="34"/>
      <c r="E1254" s="34" t="s">
        <v>36</v>
      </c>
      <c r="F1254" s="54" t="s">
        <v>420</v>
      </c>
      <c r="G1254" s="34"/>
      <c r="H1254" s="34" t="str">
        <f>IF(LEFT('PL1(Full)'!$F1254,4)="Thôn","Thôn","Tổ")</f>
        <v>Tổ</v>
      </c>
      <c r="I1254" s="35">
        <v>151</v>
      </c>
      <c r="J1254" s="35">
        <v>627</v>
      </c>
      <c r="K1254" s="35">
        <v>64</v>
      </c>
      <c r="L1254" s="37">
        <f t="shared" si="0"/>
        <v>42.384105960264904</v>
      </c>
      <c r="M1254" s="35">
        <v>6</v>
      </c>
      <c r="N1254" s="38">
        <f t="shared" si="1"/>
        <v>3.9735099337748343</v>
      </c>
      <c r="O1254" s="35">
        <v>0</v>
      </c>
      <c r="P1254" s="38">
        <f t="shared" si="2"/>
        <v>0</v>
      </c>
      <c r="Q1254" s="39" t="s">
        <v>82</v>
      </c>
      <c r="R1254" s="39" t="str">
        <f t="shared" si="3"/>
        <v>X</v>
      </c>
      <c r="S1254" s="34"/>
      <c r="T1254" s="34" t="str">
        <f>IF('PL1(Full)'!$N1254&gt;=20,"x",IF(AND('PL1(Full)'!$N1254&gt;=15,'PL1(Full)'!$P1254&gt;60),"x",""))</f>
        <v/>
      </c>
      <c r="U1254" s="34" t="str">
        <f>IF(AND('PL1(Full)'!$H1254="Thôn",'PL1(Full)'!$I1254&lt;75),"x",IF(AND('PL1(Full)'!$H1254="Tổ",'PL1(Full)'!$I1254&lt;100),"x","-"))</f>
        <v>-</v>
      </c>
      <c r="V1254" s="34" t="str">
        <f>IF(AND('PL1(Full)'!$H1254="Thôn",'PL1(Full)'!$I1254&lt;140),"x",IF(AND('PL1(Full)'!$H1254="Tổ",'PL1(Full)'!$I1254&lt;210),"x","-"))</f>
        <v>x</v>
      </c>
      <c r="W1254" s="40" t="str">
        <f t="shared" si="201"/>
        <v>Loại 2</v>
      </c>
      <c r="X1254" s="34"/>
    </row>
    <row r="1255" spans="1:24" ht="15.75" hidden="1" customHeight="1">
      <c r="A1255" s="30">
        <f>_xlfn.AGGREGATE(4,7,A$6:A1254)+1</f>
        <v>928</v>
      </c>
      <c r="B1255" s="31" t="str">
        <f t="shared" si="219"/>
        <v>TP. Bắc Kạn</v>
      </c>
      <c r="C1255" s="66" t="str">
        <f t="shared" si="223"/>
        <v>P. Sông Cầu</v>
      </c>
      <c r="D1255" s="34"/>
      <c r="E1255" s="34" t="s">
        <v>36</v>
      </c>
      <c r="F1255" s="54" t="s">
        <v>421</v>
      </c>
      <c r="G1255" s="34"/>
      <c r="H1255" s="34" t="str">
        <f>IF(LEFT('PL1(Full)'!$F1255,4)="Thôn","Thôn","Tổ")</f>
        <v>Tổ</v>
      </c>
      <c r="I1255" s="35">
        <v>106</v>
      </c>
      <c r="J1255" s="35">
        <v>410</v>
      </c>
      <c r="K1255" s="35">
        <v>38</v>
      </c>
      <c r="L1255" s="37">
        <f t="shared" si="0"/>
        <v>35.849056603773583</v>
      </c>
      <c r="M1255" s="35">
        <v>0</v>
      </c>
      <c r="N1255" s="38">
        <f t="shared" si="1"/>
        <v>0</v>
      </c>
      <c r="O1255" s="35">
        <v>0</v>
      </c>
      <c r="P1255" s="38">
        <f t="shared" si="2"/>
        <v>0</v>
      </c>
      <c r="Q1255" s="39" t="s">
        <v>158</v>
      </c>
      <c r="R1255" s="39" t="str">
        <f t="shared" si="3"/>
        <v>X</v>
      </c>
      <c r="S1255" s="34"/>
      <c r="T1255" s="34" t="str">
        <f>IF('PL1(Full)'!$N1255&gt;=20,"x",IF(AND('PL1(Full)'!$N1255&gt;=15,'PL1(Full)'!$P1255&gt;60),"x",""))</f>
        <v/>
      </c>
      <c r="U1255" s="34" t="str">
        <f>IF(AND('PL1(Full)'!$H1255="Thôn",'PL1(Full)'!$I1255&lt;75),"x",IF(AND('PL1(Full)'!$H1255="Tổ",'PL1(Full)'!$I1255&lt;100),"x","-"))</f>
        <v>-</v>
      </c>
      <c r="V1255" s="34" t="str">
        <f>IF(AND('PL1(Full)'!$H1255="Thôn",'PL1(Full)'!$I1255&lt;140),"x",IF(AND('PL1(Full)'!$H1255="Tổ",'PL1(Full)'!$I1255&lt;210),"x","-"))</f>
        <v>x</v>
      </c>
      <c r="W1255" s="40" t="str">
        <f t="shared" si="201"/>
        <v>Loại 3</v>
      </c>
      <c r="X1255" s="34"/>
    </row>
    <row r="1256" spans="1:24" ht="15.75" hidden="1" customHeight="1">
      <c r="A1256" s="30">
        <f>_xlfn.AGGREGATE(4,7,A$6:A1255)+1</f>
        <v>928</v>
      </c>
      <c r="B1256" s="31" t="str">
        <f t="shared" si="219"/>
        <v>TP. Bắc Kạn</v>
      </c>
      <c r="C1256" s="66" t="str">
        <f t="shared" si="223"/>
        <v>P. Sông Cầu</v>
      </c>
      <c r="D1256" s="34"/>
      <c r="E1256" s="34" t="s">
        <v>36</v>
      </c>
      <c r="F1256" s="54" t="s">
        <v>422</v>
      </c>
      <c r="G1256" s="34"/>
      <c r="H1256" s="34" t="str">
        <f>IF(LEFT('PL1(Full)'!$F1256,4)="Thôn","Thôn","Tổ")</f>
        <v>Tổ</v>
      </c>
      <c r="I1256" s="35">
        <v>108</v>
      </c>
      <c r="J1256" s="35">
        <v>532</v>
      </c>
      <c r="K1256" s="35">
        <v>32</v>
      </c>
      <c r="L1256" s="37">
        <f t="shared" si="0"/>
        <v>29.62962962962963</v>
      </c>
      <c r="M1256" s="35">
        <v>3</v>
      </c>
      <c r="N1256" s="38">
        <f t="shared" si="1"/>
        <v>2.7777777777777777</v>
      </c>
      <c r="O1256" s="35">
        <v>1</v>
      </c>
      <c r="P1256" s="38">
        <f t="shared" si="2"/>
        <v>33.333333333333336</v>
      </c>
      <c r="Q1256" s="39" t="s">
        <v>63</v>
      </c>
      <c r="R1256" s="39" t="str">
        <f t="shared" si="3"/>
        <v>X</v>
      </c>
      <c r="S1256" s="34"/>
      <c r="T1256" s="34" t="str">
        <f>IF('PL1(Full)'!$N1256&gt;=20,"x",IF(AND('PL1(Full)'!$N1256&gt;=15,'PL1(Full)'!$P1256&gt;60),"x",""))</f>
        <v/>
      </c>
      <c r="U1256" s="34" t="str">
        <f>IF(AND('PL1(Full)'!$H1256="Thôn",'PL1(Full)'!$I1256&lt;75),"x",IF(AND('PL1(Full)'!$H1256="Tổ",'PL1(Full)'!$I1256&lt;100),"x","-"))</f>
        <v>-</v>
      </c>
      <c r="V1256" s="34" t="str">
        <f>IF(AND('PL1(Full)'!$H1256="Thôn",'PL1(Full)'!$I1256&lt;140),"x",IF(AND('PL1(Full)'!$H1256="Tổ",'PL1(Full)'!$I1256&lt;210),"x","-"))</f>
        <v>x</v>
      </c>
      <c r="W1256" s="40" t="str">
        <f t="shared" si="201"/>
        <v>Loại 3</v>
      </c>
      <c r="X1256" s="34"/>
    </row>
    <row r="1257" spans="1:24" ht="15.75" hidden="1" customHeight="1">
      <c r="A1257" s="30">
        <f>_xlfn.AGGREGATE(4,7,A$6:A1256)+1</f>
        <v>928</v>
      </c>
      <c r="B1257" s="31" t="str">
        <f t="shared" si="219"/>
        <v>TP. Bắc Kạn</v>
      </c>
      <c r="C1257" s="66" t="str">
        <f t="shared" si="223"/>
        <v>P. Sông Cầu</v>
      </c>
      <c r="D1257" s="34"/>
      <c r="E1257" s="34" t="s">
        <v>36</v>
      </c>
      <c r="F1257" s="54" t="s">
        <v>423</v>
      </c>
      <c r="G1257" s="34"/>
      <c r="H1257" s="34" t="str">
        <f>IF(LEFT('PL1(Full)'!$F1257,4)="Thôn","Thôn","Tổ")</f>
        <v>Tổ</v>
      </c>
      <c r="I1257" s="35">
        <v>116</v>
      </c>
      <c r="J1257" s="35">
        <v>455</v>
      </c>
      <c r="K1257" s="35">
        <v>47</v>
      </c>
      <c r="L1257" s="37">
        <f t="shared" si="0"/>
        <v>40.517241379310342</v>
      </c>
      <c r="M1257" s="35">
        <v>1</v>
      </c>
      <c r="N1257" s="38">
        <f t="shared" si="1"/>
        <v>0.86206896551724133</v>
      </c>
      <c r="O1257" s="35">
        <v>1</v>
      </c>
      <c r="P1257" s="38">
        <f t="shared" si="2"/>
        <v>100</v>
      </c>
      <c r="Q1257" s="39" t="s">
        <v>82</v>
      </c>
      <c r="R1257" s="39" t="str">
        <f t="shared" si="3"/>
        <v>X</v>
      </c>
      <c r="S1257" s="34"/>
      <c r="T1257" s="34" t="str">
        <f>IF('PL1(Full)'!$N1257&gt;=20,"x",IF(AND('PL1(Full)'!$N1257&gt;=15,'PL1(Full)'!$P1257&gt;60),"x",""))</f>
        <v/>
      </c>
      <c r="U1257" s="34" t="str">
        <f>IF(AND('PL1(Full)'!$H1257="Thôn",'PL1(Full)'!$I1257&lt;75),"x",IF(AND('PL1(Full)'!$H1257="Tổ",'PL1(Full)'!$I1257&lt;100),"x","-"))</f>
        <v>-</v>
      </c>
      <c r="V1257" s="34" t="str">
        <f>IF(AND('PL1(Full)'!$H1257="Thôn",'PL1(Full)'!$I1257&lt;140),"x",IF(AND('PL1(Full)'!$H1257="Tổ",'PL1(Full)'!$I1257&lt;210),"x","-"))</f>
        <v>x</v>
      </c>
      <c r="W1257" s="40" t="str">
        <f t="shared" si="201"/>
        <v>Loại 3</v>
      </c>
      <c r="X1257" s="34"/>
    </row>
    <row r="1258" spans="1:24" ht="15.75" hidden="1" customHeight="1">
      <c r="A1258" s="30">
        <f>_xlfn.AGGREGATE(4,7,A$6:A1257)+1</f>
        <v>928</v>
      </c>
      <c r="B1258" s="31" t="str">
        <f t="shared" si="219"/>
        <v>TP. Bắc Kạn</v>
      </c>
      <c r="C1258" s="66" t="str">
        <f t="shared" si="223"/>
        <v>P. Sông Cầu</v>
      </c>
      <c r="D1258" s="34"/>
      <c r="E1258" s="34" t="s">
        <v>36</v>
      </c>
      <c r="F1258" s="54" t="s">
        <v>424</v>
      </c>
      <c r="G1258" s="34"/>
      <c r="H1258" s="34" t="str">
        <f>IF(LEFT('PL1(Full)'!$F1258,4)="Thôn","Thôn","Tổ")</f>
        <v>Tổ</v>
      </c>
      <c r="I1258" s="35">
        <v>209</v>
      </c>
      <c r="J1258" s="35">
        <v>837</v>
      </c>
      <c r="K1258" s="35">
        <v>85</v>
      </c>
      <c r="L1258" s="37">
        <f t="shared" si="0"/>
        <v>40.669856459330141</v>
      </c>
      <c r="M1258" s="35">
        <v>2</v>
      </c>
      <c r="N1258" s="38">
        <f t="shared" si="1"/>
        <v>0.9569377990430622</v>
      </c>
      <c r="O1258" s="35">
        <v>1</v>
      </c>
      <c r="P1258" s="38">
        <f t="shared" si="2"/>
        <v>50</v>
      </c>
      <c r="Q1258" s="104" t="s">
        <v>63</v>
      </c>
      <c r="R1258" s="104" t="str">
        <f t="shared" si="3"/>
        <v>X</v>
      </c>
      <c r="S1258" s="105"/>
      <c r="T1258" s="34" t="str">
        <f>IF('PL1(Full)'!$N1258&gt;=20,"x",IF(AND('PL1(Full)'!$N1258&gt;=15,'PL1(Full)'!$P1258&gt;60),"x",""))</f>
        <v/>
      </c>
      <c r="U1258" s="34" t="str">
        <f>IF(AND('PL1(Full)'!$H1258="Thôn",'PL1(Full)'!$I1258&lt;75),"x",IF(AND('PL1(Full)'!$H1258="Tổ",'PL1(Full)'!$I1258&lt;100),"x","-"))</f>
        <v>-</v>
      </c>
      <c r="V1258" s="34" t="str">
        <f>IF(AND('PL1(Full)'!$H1258="Thôn",'PL1(Full)'!$I1258&lt;140),"x",IF(AND('PL1(Full)'!$H1258="Tổ",'PL1(Full)'!$I1258&lt;210),"x","-"))</f>
        <v>x</v>
      </c>
      <c r="W1258" s="40" t="str">
        <f t="shared" si="201"/>
        <v>Loại 1</v>
      </c>
      <c r="X1258" s="34"/>
    </row>
    <row r="1259" spans="1:24" ht="15.75" hidden="1" customHeight="1">
      <c r="A1259" s="30">
        <f>_xlfn.AGGREGATE(4,7,A$6:A1258)+1</f>
        <v>928</v>
      </c>
      <c r="B1259" s="31" t="str">
        <f t="shared" si="219"/>
        <v>TP. Bắc Kạn</v>
      </c>
      <c r="C1259" s="66" t="str">
        <f t="shared" si="223"/>
        <v>P. Sông Cầu</v>
      </c>
      <c r="D1259" s="34"/>
      <c r="E1259" s="34" t="s">
        <v>36</v>
      </c>
      <c r="F1259" s="54" t="s">
        <v>1251</v>
      </c>
      <c r="G1259" s="34"/>
      <c r="H1259" s="34" t="str">
        <f>IF(LEFT('PL1(Full)'!$F1259,4)="Thôn","Thôn","Tổ")</f>
        <v>Tổ</v>
      </c>
      <c r="I1259" s="35">
        <v>111</v>
      </c>
      <c r="J1259" s="35">
        <v>432</v>
      </c>
      <c r="K1259" s="35">
        <v>45</v>
      </c>
      <c r="L1259" s="37">
        <f t="shared" si="0"/>
        <v>40.54054054054054</v>
      </c>
      <c r="M1259" s="35">
        <v>0</v>
      </c>
      <c r="N1259" s="38">
        <f t="shared" si="1"/>
        <v>0</v>
      </c>
      <c r="O1259" s="35">
        <v>0</v>
      </c>
      <c r="P1259" s="38">
        <f t="shared" si="2"/>
        <v>0</v>
      </c>
      <c r="Q1259" s="104" t="s">
        <v>63</v>
      </c>
      <c r="R1259" s="104" t="str">
        <f t="shared" si="3"/>
        <v>X</v>
      </c>
      <c r="S1259" s="105"/>
      <c r="T1259" s="34" t="str">
        <f>IF('PL1(Full)'!$N1259&gt;=20,"x",IF(AND('PL1(Full)'!$N1259&gt;=15,'PL1(Full)'!$P1259&gt;60),"x",""))</f>
        <v/>
      </c>
      <c r="U1259" s="34" t="str">
        <f>IF(AND('PL1(Full)'!$H1259="Thôn",'PL1(Full)'!$I1259&lt;75),"x",IF(AND('PL1(Full)'!$H1259="Tổ",'PL1(Full)'!$I1259&lt;100),"x","-"))</f>
        <v>-</v>
      </c>
      <c r="V1259" s="34" t="str">
        <f>IF(AND('PL1(Full)'!$H1259="Thôn",'PL1(Full)'!$I1259&lt;140),"x",IF(AND('PL1(Full)'!$H1259="Tổ",'PL1(Full)'!$I1259&lt;210),"x","-"))</f>
        <v>x</v>
      </c>
      <c r="W1259" s="40" t="str">
        <f t="shared" si="201"/>
        <v>Loại 3</v>
      </c>
      <c r="X1259" s="34"/>
    </row>
    <row r="1260" spans="1:24" ht="15.75" customHeight="1">
      <c r="A1260" s="30">
        <f>_xlfn.AGGREGATE(4,7,A$6:A1259)+1</f>
        <v>928</v>
      </c>
      <c r="B1260" s="31" t="str">
        <f t="shared" si="219"/>
        <v>TP. Bắc Kạn</v>
      </c>
      <c r="C1260" s="66" t="str">
        <f t="shared" si="223"/>
        <v>P. Sông Cầu</v>
      </c>
      <c r="D1260" s="34"/>
      <c r="E1260" s="34" t="s">
        <v>36</v>
      </c>
      <c r="F1260" s="54" t="s">
        <v>425</v>
      </c>
      <c r="G1260" s="34"/>
      <c r="H1260" s="34" t="str">
        <f>IF(LEFT('PL1(Full)'!$F1260,4)="Thôn","Thôn","Tổ")</f>
        <v>Tổ</v>
      </c>
      <c r="I1260" s="35">
        <v>90</v>
      </c>
      <c r="J1260" s="35">
        <v>329</v>
      </c>
      <c r="K1260" s="35">
        <v>33</v>
      </c>
      <c r="L1260" s="37">
        <f t="shared" si="0"/>
        <v>36.666666666666664</v>
      </c>
      <c r="M1260" s="35">
        <v>0</v>
      </c>
      <c r="N1260" s="38">
        <f t="shared" si="1"/>
        <v>0</v>
      </c>
      <c r="O1260" s="35">
        <v>0</v>
      </c>
      <c r="P1260" s="38">
        <f t="shared" si="2"/>
        <v>0</v>
      </c>
      <c r="Q1260" s="39" t="s">
        <v>338</v>
      </c>
      <c r="R1260" s="39" t="str">
        <f t="shared" si="3"/>
        <v>X</v>
      </c>
      <c r="S1260" s="34"/>
      <c r="T1260" s="34"/>
      <c r="U1260" s="34" t="str">
        <f>IF(AND('PL1(Full)'!$H1260="Thôn",'PL1(Full)'!$I1260&lt;75),"x",IF(AND('PL1(Full)'!$H1260="Tổ",'PL1(Full)'!$I1260&lt;100),"x","-"))</f>
        <v>x</v>
      </c>
      <c r="V1260" s="34" t="str">
        <f>IF(AND('PL1(Full)'!$H1260="Thôn",'PL1(Full)'!$I1260&lt;140),"x",IF(AND('PL1(Full)'!$H1260="Tổ",'PL1(Full)'!$I1260&lt;210),"x","-"))</f>
        <v>x</v>
      </c>
      <c r="W1260" s="40" t="str">
        <f t="shared" si="201"/>
        <v>Loại 3</v>
      </c>
      <c r="X1260" s="34"/>
    </row>
    <row r="1261" spans="1:24" ht="15.75" hidden="1" customHeight="1">
      <c r="A1261" s="30">
        <f>_xlfn.AGGREGATE(4,7,A$6:A1260)+1</f>
        <v>929</v>
      </c>
      <c r="B1261" s="31" t="str">
        <f t="shared" si="219"/>
        <v>TP. Bắc Kạn</v>
      </c>
      <c r="C1261" s="66" t="str">
        <f t="shared" si="223"/>
        <v>P. Sông Cầu</v>
      </c>
      <c r="D1261" s="34"/>
      <c r="E1261" s="34" t="s">
        <v>36</v>
      </c>
      <c r="F1261" s="54" t="s">
        <v>426</v>
      </c>
      <c r="G1261" s="34"/>
      <c r="H1261" s="34" t="str">
        <f>IF(LEFT('PL1(Full)'!$F1261,4)="Thôn","Thôn","Tổ")</f>
        <v>Tổ</v>
      </c>
      <c r="I1261" s="35">
        <v>230</v>
      </c>
      <c r="J1261" s="35">
        <v>860</v>
      </c>
      <c r="K1261" s="35">
        <v>70</v>
      </c>
      <c r="L1261" s="37">
        <f t="shared" si="0"/>
        <v>30.434782608695652</v>
      </c>
      <c r="M1261" s="35">
        <v>0</v>
      </c>
      <c r="N1261" s="38">
        <f t="shared" si="1"/>
        <v>0</v>
      </c>
      <c r="O1261" s="35">
        <v>0</v>
      </c>
      <c r="P1261" s="38">
        <f t="shared" si="2"/>
        <v>0</v>
      </c>
      <c r="Q1261" s="39" t="s">
        <v>158</v>
      </c>
      <c r="R1261" s="39" t="str">
        <f t="shared" si="3"/>
        <v>X</v>
      </c>
      <c r="S1261" s="34"/>
      <c r="T1261" s="34" t="str">
        <f>IF('PL1(Full)'!$N1261&gt;=20,"x",IF(AND('PL1(Full)'!$N1261&gt;=15,'PL1(Full)'!$P1261&gt;60),"x",""))</f>
        <v/>
      </c>
      <c r="U1261" s="34" t="str">
        <f>IF(AND('PL1(Full)'!$H1261="Thôn",'PL1(Full)'!$I1261&lt;75),"x",IF(AND('PL1(Full)'!$H1261="Tổ",'PL1(Full)'!$I1261&lt;100),"x","-"))</f>
        <v>-</v>
      </c>
      <c r="V1261" s="34" t="str">
        <f>IF(AND('PL1(Full)'!$H1261="Thôn",'PL1(Full)'!$I1261&lt;140),"x",IF(AND('PL1(Full)'!$H1261="Tổ",'PL1(Full)'!$I1261&lt;210),"x","-"))</f>
        <v>-</v>
      </c>
      <c r="W1261" s="40" t="str">
        <f t="shared" si="201"/>
        <v>Loại 1</v>
      </c>
      <c r="X1261" s="34"/>
    </row>
    <row r="1262" spans="1:24" ht="15.75" hidden="1" customHeight="1">
      <c r="A1262" s="30">
        <f>_xlfn.AGGREGATE(4,7,A$6:A1261)+1</f>
        <v>929</v>
      </c>
      <c r="B1262" s="31" t="str">
        <f t="shared" si="219"/>
        <v>TP. Bắc Kạn</v>
      </c>
      <c r="C1262" s="66" t="str">
        <f t="shared" si="223"/>
        <v>P. Sông Cầu</v>
      </c>
      <c r="D1262" s="34"/>
      <c r="E1262" s="34" t="s">
        <v>36</v>
      </c>
      <c r="F1262" s="54" t="s">
        <v>1273</v>
      </c>
      <c r="G1262" s="34"/>
      <c r="H1262" s="34" t="str">
        <f>IF(LEFT('PL1(Full)'!$F1262,4)="Thôn","Thôn","Tổ")</f>
        <v>Tổ</v>
      </c>
      <c r="I1262" s="35">
        <v>108</v>
      </c>
      <c r="J1262" s="35">
        <v>321</v>
      </c>
      <c r="K1262" s="35">
        <v>33</v>
      </c>
      <c r="L1262" s="37">
        <f t="shared" si="0"/>
        <v>30.555555555555557</v>
      </c>
      <c r="M1262" s="35">
        <v>1</v>
      </c>
      <c r="N1262" s="38">
        <f t="shared" si="1"/>
        <v>0.92592592592592593</v>
      </c>
      <c r="O1262" s="35">
        <v>1</v>
      </c>
      <c r="P1262" s="38">
        <f t="shared" si="2"/>
        <v>100</v>
      </c>
      <c r="Q1262" s="104" t="s">
        <v>338</v>
      </c>
      <c r="R1262" s="104" t="str">
        <f t="shared" si="3"/>
        <v>X</v>
      </c>
      <c r="S1262" s="105"/>
      <c r="T1262" s="34" t="str">
        <f>IF('PL1(Full)'!$N1262&gt;=20,"x",IF(AND('PL1(Full)'!$N1262&gt;=15,'PL1(Full)'!$P1262&gt;60),"x",""))</f>
        <v/>
      </c>
      <c r="U1262" s="34" t="str">
        <f>IF(AND('PL1(Full)'!$H1262="Thôn",'PL1(Full)'!$I1262&lt;75),"x",IF(AND('PL1(Full)'!$H1262="Tổ",'PL1(Full)'!$I1262&lt;100),"x","-"))</f>
        <v>-</v>
      </c>
      <c r="V1262" s="34" t="str">
        <f>IF(AND('PL1(Full)'!$H1262="Thôn",'PL1(Full)'!$I1262&lt;140),"x",IF(AND('PL1(Full)'!$H1262="Tổ",'PL1(Full)'!$I1262&lt;210),"x","-"))</f>
        <v>x</v>
      </c>
      <c r="W1262" s="40" t="str">
        <f t="shared" si="201"/>
        <v>Loại 3</v>
      </c>
      <c r="X1262" s="34"/>
    </row>
    <row r="1263" spans="1:24" ht="15.75" hidden="1" customHeight="1">
      <c r="A1263" s="30">
        <f>_xlfn.AGGREGATE(4,7,A$6:A1262)+1</f>
        <v>929</v>
      </c>
      <c r="B1263" s="31" t="str">
        <f t="shared" si="219"/>
        <v>TP. Bắc Kạn</v>
      </c>
      <c r="C1263" s="66" t="str">
        <f t="shared" si="223"/>
        <v>P. Sông Cầu</v>
      </c>
      <c r="D1263" s="34"/>
      <c r="E1263" s="34" t="s">
        <v>36</v>
      </c>
      <c r="F1263" s="54" t="s">
        <v>429</v>
      </c>
      <c r="G1263" s="34"/>
      <c r="H1263" s="34" t="str">
        <f>IF(LEFT('PL1(Full)'!$F1263,4)="Thôn","Thôn","Tổ")</f>
        <v>Tổ</v>
      </c>
      <c r="I1263" s="35">
        <v>107</v>
      </c>
      <c r="J1263" s="35">
        <v>459</v>
      </c>
      <c r="K1263" s="35">
        <v>41</v>
      </c>
      <c r="L1263" s="37">
        <f t="shared" si="0"/>
        <v>38.317757009345797</v>
      </c>
      <c r="M1263" s="35">
        <v>0</v>
      </c>
      <c r="N1263" s="38">
        <f t="shared" si="1"/>
        <v>0</v>
      </c>
      <c r="O1263" s="35">
        <v>0</v>
      </c>
      <c r="P1263" s="38">
        <f t="shared" si="2"/>
        <v>0</v>
      </c>
      <c r="Q1263" s="39" t="s">
        <v>338</v>
      </c>
      <c r="R1263" s="39" t="str">
        <f t="shared" si="3"/>
        <v>X</v>
      </c>
      <c r="S1263" s="34"/>
      <c r="T1263" s="34"/>
      <c r="U1263" s="34" t="str">
        <f>IF(AND('PL1(Full)'!$H1263="Thôn",'PL1(Full)'!$I1263&lt;75),"x",IF(AND('PL1(Full)'!$H1263="Tổ",'PL1(Full)'!$I1263&lt;100),"x","-"))</f>
        <v>-</v>
      </c>
      <c r="V1263" s="34" t="str">
        <f>IF(AND('PL1(Full)'!$H1263="Thôn",'PL1(Full)'!$I1263&lt;140),"x",IF(AND('PL1(Full)'!$H1263="Tổ",'PL1(Full)'!$I1263&lt;210),"x","-"))</f>
        <v>x</v>
      </c>
      <c r="W1263" s="40" t="str">
        <f t="shared" si="201"/>
        <v>Loại 3</v>
      </c>
      <c r="X1263" s="34"/>
    </row>
    <row r="1264" spans="1:24" ht="15.75" hidden="1" customHeight="1">
      <c r="A1264" s="30">
        <f>_xlfn.AGGREGATE(4,7,A$6:A1263)+1</f>
        <v>929</v>
      </c>
      <c r="B1264" s="31" t="str">
        <f t="shared" si="219"/>
        <v>TP. Bắc Kạn</v>
      </c>
      <c r="C1264" s="66" t="str">
        <f t="shared" si="223"/>
        <v>P. Sông Cầu</v>
      </c>
      <c r="D1264" s="34"/>
      <c r="E1264" s="34" t="s">
        <v>36</v>
      </c>
      <c r="F1264" s="54" t="s">
        <v>430</v>
      </c>
      <c r="G1264" s="34"/>
      <c r="H1264" s="34" t="str">
        <f>IF(LEFT('PL1(Full)'!$F1264,4)="Thôn","Thôn","Tổ")</f>
        <v>Tổ</v>
      </c>
      <c r="I1264" s="35">
        <v>144</v>
      </c>
      <c r="J1264" s="35">
        <v>558</v>
      </c>
      <c r="K1264" s="35">
        <v>41</v>
      </c>
      <c r="L1264" s="37">
        <f t="shared" si="0"/>
        <v>28.472222222222221</v>
      </c>
      <c r="M1264" s="35">
        <v>1</v>
      </c>
      <c r="N1264" s="38">
        <f t="shared" si="1"/>
        <v>0.69444444444444442</v>
      </c>
      <c r="O1264" s="35">
        <v>0</v>
      </c>
      <c r="P1264" s="38">
        <f t="shared" si="2"/>
        <v>0</v>
      </c>
      <c r="Q1264" s="39" t="s">
        <v>63</v>
      </c>
      <c r="R1264" s="39" t="str">
        <f t="shared" si="3"/>
        <v>X</v>
      </c>
      <c r="S1264" s="34"/>
      <c r="T1264" s="34"/>
      <c r="U1264" s="34" t="str">
        <f>IF(AND('PL1(Full)'!$H1264="Thôn",'PL1(Full)'!$I1264&lt;75),"x",IF(AND('PL1(Full)'!$H1264="Tổ",'PL1(Full)'!$I1264&lt;100),"x","-"))</f>
        <v>-</v>
      </c>
      <c r="V1264" s="34" t="str">
        <f>IF(AND('PL1(Full)'!$H1264="Thôn",'PL1(Full)'!$I1264&lt;140),"x",IF(AND('PL1(Full)'!$H1264="Tổ",'PL1(Full)'!$I1264&lt;210),"x","-"))</f>
        <v>x</v>
      </c>
      <c r="W1264" s="40" t="str">
        <f t="shared" si="201"/>
        <v>Loại 3</v>
      </c>
      <c r="X1264" s="34"/>
    </row>
    <row r="1265" spans="1:24" ht="15.75" hidden="1" customHeight="1">
      <c r="A1265" s="30">
        <f>_xlfn.AGGREGATE(4,7,A$6:A1264)+1</f>
        <v>929</v>
      </c>
      <c r="B1265" s="31" t="str">
        <f t="shared" si="219"/>
        <v>TP. Bắc Kạn</v>
      </c>
      <c r="C1265" s="66" t="str">
        <f t="shared" si="223"/>
        <v>P. Sông Cầu</v>
      </c>
      <c r="D1265" s="34"/>
      <c r="E1265" s="34" t="s">
        <v>36</v>
      </c>
      <c r="F1265" s="54" t="s">
        <v>431</v>
      </c>
      <c r="G1265" s="34"/>
      <c r="H1265" s="34" t="str">
        <f>IF(LEFT('PL1(Full)'!$F1265,4)="Thôn","Thôn","Tổ")</f>
        <v>Tổ</v>
      </c>
      <c r="I1265" s="35">
        <v>125</v>
      </c>
      <c r="J1265" s="35">
        <v>470</v>
      </c>
      <c r="K1265" s="35">
        <v>47</v>
      </c>
      <c r="L1265" s="37">
        <f t="shared" si="0"/>
        <v>37.6</v>
      </c>
      <c r="M1265" s="35">
        <v>0</v>
      </c>
      <c r="N1265" s="38">
        <f t="shared" si="1"/>
        <v>0</v>
      </c>
      <c r="O1265" s="35">
        <v>0</v>
      </c>
      <c r="P1265" s="38">
        <f t="shared" si="2"/>
        <v>0</v>
      </c>
      <c r="Q1265" s="104" t="s">
        <v>338</v>
      </c>
      <c r="R1265" s="104" t="str">
        <f t="shared" si="3"/>
        <v>X</v>
      </c>
      <c r="S1265" s="105"/>
      <c r="T1265" s="34" t="str">
        <f>IF('PL1(Full)'!$N1265&gt;=20,"x",IF(AND('PL1(Full)'!$N1265&gt;=15,'PL1(Full)'!$P1265&gt;60),"x",""))</f>
        <v/>
      </c>
      <c r="U1265" s="34" t="str">
        <f>IF(AND('PL1(Full)'!$H1265="Thôn",'PL1(Full)'!$I1265&lt;75),"x",IF(AND('PL1(Full)'!$H1265="Tổ",'PL1(Full)'!$I1265&lt;100),"x","-"))</f>
        <v>-</v>
      </c>
      <c r="V1265" s="34" t="str">
        <f>IF(AND('PL1(Full)'!$H1265="Thôn",'PL1(Full)'!$I1265&lt;140),"x",IF(AND('PL1(Full)'!$H1265="Tổ",'PL1(Full)'!$I1265&lt;210),"x","-"))</f>
        <v>x</v>
      </c>
      <c r="W1265" s="40" t="str">
        <f t="shared" si="201"/>
        <v>Loại 3</v>
      </c>
      <c r="X1265" s="34"/>
    </row>
    <row r="1266" spans="1:24" ht="15.75" customHeight="1">
      <c r="A1266" s="30">
        <f>_xlfn.AGGREGATE(4,7,A$6:A1265)+1</f>
        <v>929</v>
      </c>
      <c r="B1266" s="31" t="str">
        <f t="shared" si="219"/>
        <v>TP. Bắc Kạn</v>
      </c>
      <c r="C1266" s="66" t="str">
        <f t="shared" si="223"/>
        <v>P. Sông Cầu</v>
      </c>
      <c r="D1266" s="34"/>
      <c r="E1266" s="34" t="s">
        <v>36</v>
      </c>
      <c r="F1266" s="54" t="s">
        <v>1277</v>
      </c>
      <c r="G1266" s="34"/>
      <c r="H1266" s="34" t="str">
        <f>IF(LEFT('PL1(Full)'!$F1266,4)="Thôn","Thôn","Tổ")</f>
        <v>Tổ</v>
      </c>
      <c r="I1266" s="35">
        <v>93</v>
      </c>
      <c r="J1266" s="35">
        <v>420</v>
      </c>
      <c r="K1266" s="35">
        <v>33</v>
      </c>
      <c r="L1266" s="37">
        <f t="shared" si="0"/>
        <v>35.483870967741936</v>
      </c>
      <c r="M1266" s="35">
        <v>2</v>
      </c>
      <c r="N1266" s="38">
        <f t="shared" si="1"/>
        <v>2.150537634408602</v>
      </c>
      <c r="O1266" s="35">
        <v>2</v>
      </c>
      <c r="P1266" s="38">
        <f t="shared" si="2"/>
        <v>100</v>
      </c>
      <c r="Q1266" s="104" t="s">
        <v>338</v>
      </c>
      <c r="R1266" s="104" t="str">
        <f t="shared" si="3"/>
        <v>X</v>
      </c>
      <c r="S1266" s="105"/>
      <c r="T1266" s="34" t="str">
        <f>IF('PL1(Full)'!$N1266&gt;=20,"x",IF(AND('PL1(Full)'!$N1266&gt;=15,'PL1(Full)'!$P1266&gt;60),"x",""))</f>
        <v/>
      </c>
      <c r="U1266" s="34" t="str">
        <f>IF(AND('PL1(Full)'!$H1266="Thôn",'PL1(Full)'!$I1266&lt;75),"x",IF(AND('PL1(Full)'!$H1266="Tổ",'PL1(Full)'!$I1266&lt;100),"x","-"))</f>
        <v>x</v>
      </c>
      <c r="V1266" s="34" t="str">
        <f>IF(AND('PL1(Full)'!$H1266="Thôn",'PL1(Full)'!$I1266&lt;140),"x",IF(AND('PL1(Full)'!$H1266="Tổ",'PL1(Full)'!$I1266&lt;210),"x","-"))</f>
        <v>x</v>
      </c>
      <c r="W1266" s="40" t="str">
        <f t="shared" si="201"/>
        <v>Loại 3</v>
      </c>
      <c r="X1266" s="34"/>
    </row>
    <row r="1267" spans="1:24" ht="15.75" customHeight="1">
      <c r="A1267" s="41">
        <f>_xlfn.AGGREGATE(4,7,A$6:A1266)+1</f>
        <v>930</v>
      </c>
      <c r="B1267" s="42" t="str">
        <f t="shared" si="219"/>
        <v>TP. Bắc Kạn</v>
      </c>
      <c r="C1267" s="67" t="str">
        <f t="shared" si="223"/>
        <v>P. Sông Cầu</v>
      </c>
      <c r="D1267" s="50"/>
      <c r="E1267" s="50" t="s">
        <v>36</v>
      </c>
      <c r="F1267" s="55" t="s">
        <v>1278</v>
      </c>
      <c r="G1267" s="50"/>
      <c r="H1267" s="50" t="str">
        <f>IF(LEFT('PL1(Full)'!$F1267,4)="Thôn","Thôn","Tổ")</f>
        <v>Tổ</v>
      </c>
      <c r="I1267" s="45">
        <v>40</v>
      </c>
      <c r="J1267" s="45">
        <v>155</v>
      </c>
      <c r="K1267" s="45">
        <v>16</v>
      </c>
      <c r="L1267" s="47">
        <f t="shared" si="0"/>
        <v>40</v>
      </c>
      <c r="M1267" s="45">
        <v>2</v>
      </c>
      <c r="N1267" s="48">
        <f t="shared" si="1"/>
        <v>5</v>
      </c>
      <c r="O1267" s="45">
        <v>0</v>
      </c>
      <c r="P1267" s="48">
        <f t="shared" si="2"/>
        <v>0</v>
      </c>
      <c r="Q1267" s="49" t="s">
        <v>338</v>
      </c>
      <c r="R1267" s="49" t="str">
        <f t="shared" si="3"/>
        <v>X</v>
      </c>
      <c r="S1267" s="50"/>
      <c r="T1267" s="50" t="str">
        <f>IF('PL1(Full)'!$N1267&gt;=20,"x",IF(AND('PL1(Full)'!$N1267&gt;=15,'PL1(Full)'!$P1267&gt;60),"x",""))</f>
        <v/>
      </c>
      <c r="U1267" s="50" t="str">
        <f>IF(AND('PL1(Full)'!$H1267="Thôn",'PL1(Full)'!$I1267&lt;75),"x",IF(AND('PL1(Full)'!$H1267="Tổ",'PL1(Full)'!$I1267&lt;100),"x","-"))</f>
        <v>x</v>
      </c>
      <c r="V1267" s="34" t="str">
        <f>IF(AND('PL1(Full)'!$H1267="Thôn",'PL1(Full)'!$I1267&lt;140),"x",IF(AND('PL1(Full)'!$H1267="Tổ",'PL1(Full)'!$I1267&lt;210),"x","-"))</f>
        <v>x</v>
      </c>
      <c r="W1267" s="51" t="str">
        <f t="shared" si="201"/>
        <v>Loại 3</v>
      </c>
      <c r="X1267" s="50"/>
    </row>
    <row r="1268" spans="1:24" ht="15.75" hidden="1" customHeight="1">
      <c r="A1268" s="52">
        <f>_xlfn.AGGREGATE(4,7,A$6:A1267)+1</f>
        <v>931</v>
      </c>
      <c r="B1268" s="14" t="str">
        <f t="shared" si="219"/>
        <v>TP. Bắc Kạn</v>
      </c>
      <c r="C1268" s="14" t="s">
        <v>1279</v>
      </c>
      <c r="D1268" s="15" t="s">
        <v>36</v>
      </c>
      <c r="E1268" s="16" t="s">
        <v>36</v>
      </c>
      <c r="F1268" s="65" t="s">
        <v>411</v>
      </c>
      <c r="G1268" s="18" t="s">
        <v>40</v>
      </c>
      <c r="H1268" s="18" t="str">
        <f>IF(LEFT('PL1(Full)'!$F1268,4)="Thôn","Thôn","Tổ")</f>
        <v>Tổ</v>
      </c>
      <c r="I1268" s="19">
        <v>130</v>
      </c>
      <c r="J1268" s="19">
        <v>470</v>
      </c>
      <c r="K1268" s="19">
        <v>91</v>
      </c>
      <c r="L1268" s="21">
        <f t="shared" si="0"/>
        <v>70</v>
      </c>
      <c r="M1268" s="19">
        <v>6</v>
      </c>
      <c r="N1268" s="22">
        <f t="shared" si="1"/>
        <v>4.615384615384615</v>
      </c>
      <c r="O1268" s="19">
        <v>3</v>
      </c>
      <c r="P1268" s="22">
        <f t="shared" si="2"/>
        <v>50</v>
      </c>
      <c r="Q1268" s="87" t="s">
        <v>158</v>
      </c>
      <c r="R1268" s="87" t="str">
        <f t="shared" si="3"/>
        <v>X</v>
      </c>
      <c r="S1268" s="18"/>
      <c r="T1268" s="26" t="str">
        <f>IF('PL1(Full)'!$N1268&gt;=20,"x",IF(AND('PL1(Full)'!$N1268&gt;=15,'PL1(Full)'!$P1268&gt;60),"x",""))</f>
        <v/>
      </c>
      <c r="U1268" s="27" t="str">
        <f>IF(AND('PL1(Full)'!$H1268="Thôn",'PL1(Full)'!$I1268&lt;75),"x",IF(AND('PL1(Full)'!$H1268="Tổ",'PL1(Full)'!$I1268&lt;100),"x","-"))</f>
        <v>-</v>
      </c>
      <c r="V1268" s="28" t="str">
        <f>IF(AND('PL1(Full)'!$H1268="Thôn",'PL1(Full)'!$I1268&lt;140),"x",IF(AND('PL1(Full)'!$H1268="Tổ",'PL1(Full)'!$I1268&lt;210),"x","-"))</f>
        <v>x</v>
      </c>
      <c r="W1268" s="29" t="str">
        <f t="shared" si="201"/>
        <v>Loại 3</v>
      </c>
      <c r="X1268" s="18"/>
    </row>
    <row r="1269" spans="1:24" ht="15.75" customHeight="1">
      <c r="A1269" s="30">
        <f>_xlfn.AGGREGATE(4,7,A$6:A1268)+1</f>
        <v>931</v>
      </c>
      <c r="B1269" s="31" t="str">
        <f t="shared" si="219"/>
        <v>TP. Bắc Kạn</v>
      </c>
      <c r="C1269" s="66" t="str">
        <f t="shared" ref="C1269:C1274" si="224">C1268</f>
        <v>P. Xuất Hóa</v>
      </c>
      <c r="D1269" s="32"/>
      <c r="E1269" s="32" t="s">
        <v>36</v>
      </c>
      <c r="F1269" s="66" t="s">
        <v>639</v>
      </c>
      <c r="G1269" s="32" t="s">
        <v>1280</v>
      </c>
      <c r="H1269" s="32" t="str">
        <f>IF(LEFT('PL1(Full)'!$F1269,4)="Thôn","Thôn","Tổ")</f>
        <v>Tổ</v>
      </c>
      <c r="I1269" s="35">
        <v>87</v>
      </c>
      <c r="J1269" s="35">
        <v>382</v>
      </c>
      <c r="K1269" s="35">
        <v>86</v>
      </c>
      <c r="L1269" s="37">
        <f t="shared" si="0"/>
        <v>98.850574712643677</v>
      </c>
      <c r="M1269" s="35">
        <v>3</v>
      </c>
      <c r="N1269" s="38">
        <f t="shared" si="1"/>
        <v>3.4482758620689653</v>
      </c>
      <c r="O1269" s="35">
        <v>3</v>
      </c>
      <c r="P1269" s="38">
        <f t="shared" si="2"/>
        <v>100</v>
      </c>
      <c r="Q1269" s="88" t="s">
        <v>49</v>
      </c>
      <c r="R1269" s="88" t="str">
        <f t="shared" si="3"/>
        <v>X</v>
      </c>
      <c r="S1269" s="32"/>
      <c r="T1269" s="34" t="str">
        <f>IF('PL1(Full)'!$N1269&gt;=20,"x",IF(AND('PL1(Full)'!$N1269&gt;=15,'PL1(Full)'!$P1269&gt;60),"x",""))</f>
        <v/>
      </c>
      <c r="U1269" s="34" t="str">
        <f>IF(AND('PL1(Full)'!$H1269="Thôn",'PL1(Full)'!$I1269&lt;75),"x",IF(AND('PL1(Full)'!$H1269="Tổ",'PL1(Full)'!$I1269&lt;100),"x","-"))</f>
        <v>x</v>
      </c>
      <c r="V1269" s="34" t="str">
        <f>IF(AND('PL1(Full)'!$H1269="Thôn",'PL1(Full)'!$I1269&lt;140),"x",IF(AND('PL1(Full)'!$H1269="Tổ",'PL1(Full)'!$I1269&lt;210),"x","-"))</f>
        <v>x</v>
      </c>
      <c r="W1269" s="40" t="str">
        <f t="shared" si="201"/>
        <v>Loại 3</v>
      </c>
      <c r="X1269" s="32"/>
    </row>
    <row r="1270" spans="1:24" ht="15.75" hidden="1" customHeight="1">
      <c r="A1270" s="30">
        <f>_xlfn.AGGREGATE(4,7,A$6:A1269)+1</f>
        <v>932</v>
      </c>
      <c r="B1270" s="31" t="str">
        <f t="shared" si="219"/>
        <v>TP. Bắc Kạn</v>
      </c>
      <c r="C1270" s="66" t="str">
        <f t="shared" si="224"/>
        <v>P. Xuất Hóa</v>
      </c>
      <c r="D1270" s="32"/>
      <c r="E1270" s="32" t="s">
        <v>36</v>
      </c>
      <c r="F1270" s="66" t="s">
        <v>414</v>
      </c>
      <c r="G1270" s="34" t="s">
        <v>40</v>
      </c>
      <c r="H1270" s="32" t="str">
        <f>IF(LEFT('PL1(Full)'!$F1270,4)="Thôn","Thôn","Tổ")</f>
        <v>Tổ</v>
      </c>
      <c r="I1270" s="35">
        <v>147</v>
      </c>
      <c r="J1270" s="35">
        <v>565</v>
      </c>
      <c r="K1270" s="35">
        <v>130</v>
      </c>
      <c r="L1270" s="37">
        <f t="shared" si="0"/>
        <v>88.435374149659864</v>
      </c>
      <c r="M1270" s="35">
        <v>8</v>
      </c>
      <c r="N1270" s="38">
        <f t="shared" si="1"/>
        <v>5.4421768707482991</v>
      </c>
      <c r="O1270" s="35">
        <v>8</v>
      </c>
      <c r="P1270" s="38">
        <f t="shared" si="2"/>
        <v>100</v>
      </c>
      <c r="Q1270" s="88" t="s">
        <v>158</v>
      </c>
      <c r="R1270" s="88" t="str">
        <f t="shared" si="3"/>
        <v>X</v>
      </c>
      <c r="S1270" s="32"/>
      <c r="T1270" s="34" t="str">
        <f>IF('PL1(Full)'!$N1270&gt;=20,"x",IF(AND('PL1(Full)'!$N1270&gt;=15,'PL1(Full)'!$P1270&gt;60),"x",""))</f>
        <v/>
      </c>
      <c r="U1270" s="34" t="str">
        <f>IF(AND('PL1(Full)'!$H1270="Thôn",'PL1(Full)'!$I1270&lt;75),"x",IF(AND('PL1(Full)'!$H1270="Tổ",'PL1(Full)'!$I1270&lt;100),"x","-"))</f>
        <v>-</v>
      </c>
      <c r="V1270" s="34" t="str">
        <f>IF(AND('PL1(Full)'!$H1270="Thôn",'PL1(Full)'!$I1270&lt;140),"x",IF(AND('PL1(Full)'!$H1270="Tổ",'PL1(Full)'!$I1270&lt;210),"x","-"))</f>
        <v>x</v>
      </c>
      <c r="W1270" s="40" t="str">
        <f t="shared" si="201"/>
        <v>Loại 3</v>
      </c>
      <c r="X1270" s="32"/>
    </row>
    <row r="1271" spans="1:24" ht="15.75" hidden="1" customHeight="1">
      <c r="A1271" s="30">
        <f>_xlfn.AGGREGATE(4,7,A$6:A1270)+1</f>
        <v>932</v>
      </c>
      <c r="B1271" s="31" t="str">
        <f t="shared" si="219"/>
        <v>TP. Bắc Kạn</v>
      </c>
      <c r="C1271" s="66" t="str">
        <f t="shared" si="224"/>
        <v>P. Xuất Hóa</v>
      </c>
      <c r="D1271" s="32"/>
      <c r="E1271" s="32" t="s">
        <v>36</v>
      </c>
      <c r="F1271" s="66" t="s">
        <v>415</v>
      </c>
      <c r="G1271" s="34" t="s">
        <v>40</v>
      </c>
      <c r="H1271" s="32" t="str">
        <f>IF(LEFT('PL1(Full)'!$F1271,4)="Thôn","Thôn","Tổ")</f>
        <v>Tổ</v>
      </c>
      <c r="I1271" s="35">
        <v>203</v>
      </c>
      <c r="J1271" s="35">
        <v>750</v>
      </c>
      <c r="K1271" s="35">
        <v>147</v>
      </c>
      <c r="L1271" s="37">
        <f t="shared" si="0"/>
        <v>72.41379310344827</v>
      </c>
      <c r="M1271" s="35">
        <v>6</v>
      </c>
      <c r="N1271" s="38">
        <f t="shared" si="1"/>
        <v>2.9556650246305418</v>
      </c>
      <c r="O1271" s="35">
        <v>5</v>
      </c>
      <c r="P1271" s="38">
        <f t="shared" si="2"/>
        <v>83.333333333333329</v>
      </c>
      <c r="Q1271" s="88" t="s">
        <v>158</v>
      </c>
      <c r="R1271" s="88" t="str">
        <f t="shared" si="3"/>
        <v>X</v>
      </c>
      <c r="S1271" s="32"/>
      <c r="T1271" s="34" t="str">
        <f>IF('PL1(Full)'!$N1271&gt;=20,"x",IF(AND('PL1(Full)'!$N1271&gt;=15,'PL1(Full)'!$P1271&gt;60),"x",""))</f>
        <v/>
      </c>
      <c r="U1271" s="34" t="str">
        <f>IF(AND('PL1(Full)'!$H1271="Thôn",'PL1(Full)'!$I1271&lt;75),"x",IF(AND('PL1(Full)'!$H1271="Tổ",'PL1(Full)'!$I1271&lt;100),"x","-"))</f>
        <v>-</v>
      </c>
      <c r="V1271" s="34" t="str">
        <f>IF(AND('PL1(Full)'!$H1271="Thôn",'PL1(Full)'!$I1271&lt;140),"x",IF(AND('PL1(Full)'!$H1271="Tổ",'PL1(Full)'!$I1271&lt;210),"x","-"))</f>
        <v>x</v>
      </c>
      <c r="W1271" s="40" t="str">
        <f t="shared" si="201"/>
        <v>Loại 1</v>
      </c>
      <c r="X1271" s="32"/>
    </row>
    <row r="1272" spans="1:24" ht="15.75" customHeight="1">
      <c r="A1272" s="30">
        <f>_xlfn.AGGREGATE(4,7,A$6:A1271)+1</f>
        <v>932</v>
      </c>
      <c r="B1272" s="31" t="str">
        <f t="shared" si="219"/>
        <v>TP. Bắc Kạn</v>
      </c>
      <c r="C1272" s="66" t="str">
        <f t="shared" si="224"/>
        <v>P. Xuất Hóa</v>
      </c>
      <c r="D1272" s="32"/>
      <c r="E1272" s="32" t="s">
        <v>36</v>
      </c>
      <c r="F1272" s="66" t="s">
        <v>416</v>
      </c>
      <c r="G1272" s="32" t="s">
        <v>1280</v>
      </c>
      <c r="H1272" s="32" t="str">
        <f>IF(LEFT('PL1(Full)'!$F1272,4)="Thôn","Thôn","Tổ")</f>
        <v>Tổ</v>
      </c>
      <c r="I1272" s="35">
        <v>74</v>
      </c>
      <c r="J1272" s="35">
        <v>287</v>
      </c>
      <c r="K1272" s="35">
        <v>74</v>
      </c>
      <c r="L1272" s="37">
        <f t="shared" si="0"/>
        <v>100</v>
      </c>
      <c r="M1272" s="35">
        <v>3</v>
      </c>
      <c r="N1272" s="38">
        <f t="shared" si="1"/>
        <v>4.0540540540540544</v>
      </c>
      <c r="O1272" s="35">
        <v>3</v>
      </c>
      <c r="P1272" s="38">
        <f t="shared" si="2"/>
        <v>100</v>
      </c>
      <c r="Q1272" s="88" t="s">
        <v>49</v>
      </c>
      <c r="R1272" s="88" t="str">
        <f t="shared" si="3"/>
        <v>X</v>
      </c>
      <c r="S1272" s="32"/>
      <c r="T1272" s="34" t="str">
        <f>IF('PL1(Full)'!$N1272&gt;=20,"x",IF(AND('PL1(Full)'!$N1272&gt;=15,'PL1(Full)'!$P1272&gt;60),"x",""))</f>
        <v/>
      </c>
      <c r="U1272" s="34" t="str">
        <f>IF(AND('PL1(Full)'!$H1272="Thôn",'PL1(Full)'!$I1272&lt;75),"x",IF(AND('PL1(Full)'!$H1272="Tổ",'PL1(Full)'!$I1272&lt;100),"x","-"))</f>
        <v>x</v>
      </c>
      <c r="V1272" s="34" t="str">
        <f>IF(AND('PL1(Full)'!$H1272="Thôn",'PL1(Full)'!$I1272&lt;140),"x",IF(AND('PL1(Full)'!$H1272="Tổ",'PL1(Full)'!$I1272&lt;210),"x","-"))</f>
        <v>x</v>
      </c>
      <c r="W1272" s="40" t="str">
        <f t="shared" si="201"/>
        <v>Loại 3</v>
      </c>
      <c r="X1272" s="32"/>
    </row>
    <row r="1273" spans="1:24" ht="15.75" customHeight="1">
      <c r="A1273" s="30">
        <f>_xlfn.AGGREGATE(4,7,A$6:A1272)+1</f>
        <v>933</v>
      </c>
      <c r="B1273" s="31" t="str">
        <f t="shared" si="219"/>
        <v>TP. Bắc Kạn</v>
      </c>
      <c r="C1273" s="66" t="str">
        <f t="shared" si="224"/>
        <v>P. Xuất Hóa</v>
      </c>
      <c r="D1273" s="32"/>
      <c r="E1273" s="32" t="s">
        <v>36</v>
      </c>
      <c r="F1273" s="66" t="s">
        <v>640</v>
      </c>
      <c r="G1273" s="32" t="s">
        <v>1280</v>
      </c>
      <c r="H1273" s="32" t="str">
        <f>IF(LEFT('PL1(Full)'!$F1273,4)="Thôn","Thôn","Tổ")</f>
        <v>Tổ</v>
      </c>
      <c r="I1273" s="35">
        <v>94</v>
      </c>
      <c r="J1273" s="35">
        <v>373</v>
      </c>
      <c r="K1273" s="35">
        <v>85</v>
      </c>
      <c r="L1273" s="37">
        <f t="shared" si="0"/>
        <v>90.425531914893611</v>
      </c>
      <c r="M1273" s="35">
        <v>2</v>
      </c>
      <c r="N1273" s="38">
        <f t="shared" si="1"/>
        <v>2.1276595744680851</v>
      </c>
      <c r="O1273" s="35">
        <v>2</v>
      </c>
      <c r="P1273" s="38">
        <f t="shared" si="2"/>
        <v>100</v>
      </c>
      <c r="Q1273" s="88" t="s">
        <v>158</v>
      </c>
      <c r="R1273" s="88" t="str">
        <f t="shared" si="3"/>
        <v>X</v>
      </c>
      <c r="S1273" s="32"/>
      <c r="T1273" s="34" t="str">
        <f>IF('PL1(Full)'!$N1273&gt;=20,"x",IF(AND('PL1(Full)'!$N1273&gt;=15,'PL1(Full)'!$P1273&gt;60),"x",""))</f>
        <v/>
      </c>
      <c r="U1273" s="34" t="str">
        <f>IF(AND('PL1(Full)'!$H1273="Thôn",'PL1(Full)'!$I1273&lt;75),"x",IF(AND('PL1(Full)'!$H1273="Tổ",'PL1(Full)'!$I1273&lt;100),"x","-"))</f>
        <v>x</v>
      </c>
      <c r="V1273" s="34" t="str">
        <f>IF(AND('PL1(Full)'!$H1273="Thôn",'PL1(Full)'!$I1273&lt;140),"x",IF(AND('PL1(Full)'!$H1273="Tổ",'PL1(Full)'!$I1273&lt;210),"x","-"))</f>
        <v>x</v>
      </c>
      <c r="W1273" s="40" t="str">
        <f t="shared" si="201"/>
        <v>Loại 3</v>
      </c>
      <c r="X1273" s="32"/>
    </row>
    <row r="1274" spans="1:24" ht="15.75" customHeight="1">
      <c r="A1274" s="41">
        <f>_xlfn.AGGREGATE(4,7,A$6:A1273)+1</f>
        <v>934</v>
      </c>
      <c r="B1274" s="42" t="str">
        <f t="shared" si="219"/>
        <v>TP. Bắc Kạn</v>
      </c>
      <c r="C1274" s="67" t="str">
        <f t="shared" si="224"/>
        <v>P. Xuất Hóa</v>
      </c>
      <c r="D1274" s="43"/>
      <c r="E1274" s="43" t="s">
        <v>36</v>
      </c>
      <c r="F1274" s="67" t="s">
        <v>419</v>
      </c>
      <c r="G1274" s="43" t="s">
        <v>1280</v>
      </c>
      <c r="H1274" s="43" t="str">
        <f>IF(LEFT('PL1(Full)'!$F1274,4)="Thôn","Thôn","Tổ")</f>
        <v>Tổ</v>
      </c>
      <c r="I1274" s="45">
        <v>92</v>
      </c>
      <c r="J1274" s="45">
        <v>354</v>
      </c>
      <c r="K1274" s="45">
        <v>34</v>
      </c>
      <c r="L1274" s="47">
        <f t="shared" si="0"/>
        <v>36.956521739130437</v>
      </c>
      <c r="M1274" s="45">
        <v>6</v>
      </c>
      <c r="N1274" s="48">
        <f t="shared" si="1"/>
        <v>6.5217391304347823</v>
      </c>
      <c r="O1274" s="45">
        <v>5</v>
      </c>
      <c r="P1274" s="48">
        <f t="shared" si="2"/>
        <v>83.333333333333329</v>
      </c>
      <c r="Q1274" s="89" t="s">
        <v>158</v>
      </c>
      <c r="R1274" s="89" t="str">
        <f t="shared" si="3"/>
        <v>X</v>
      </c>
      <c r="S1274" s="43"/>
      <c r="T1274" s="50" t="str">
        <f>IF('PL1(Full)'!$N1274&gt;=20,"x",IF(AND('PL1(Full)'!$N1274&gt;=15,'PL1(Full)'!$P1274&gt;60),"x",""))</f>
        <v/>
      </c>
      <c r="U1274" s="50" t="str">
        <f>IF(AND('PL1(Full)'!$H1274="Thôn",'PL1(Full)'!$I1274&lt;75),"x",IF(AND('PL1(Full)'!$H1274="Tổ",'PL1(Full)'!$I1274&lt;100),"x","-"))</f>
        <v>x</v>
      </c>
      <c r="V1274" s="50" t="str">
        <f>IF(AND('PL1(Full)'!$H1274="Thôn",'PL1(Full)'!$I1274&lt;140),"x",IF(AND('PL1(Full)'!$H1274="Tổ",'PL1(Full)'!$I1274&lt;210),"x","-"))</f>
        <v>x</v>
      </c>
      <c r="W1274" s="51" t="str">
        <f t="shared" si="201"/>
        <v>Loại 3</v>
      </c>
      <c r="X1274" s="43"/>
    </row>
    <row r="1275" spans="1:24" ht="15.75" hidden="1" customHeight="1">
      <c r="A1275" s="52">
        <f>_xlfn.AGGREGATE(4,7,A$6:A1274)+1</f>
        <v>935</v>
      </c>
      <c r="B1275" s="14" t="str">
        <f t="shared" si="219"/>
        <v>TP. Bắc Kạn</v>
      </c>
      <c r="C1275" s="14" t="s">
        <v>1281</v>
      </c>
      <c r="D1275" s="15" t="s">
        <v>36</v>
      </c>
      <c r="E1275" s="16" t="s">
        <v>36</v>
      </c>
      <c r="F1275" s="65" t="s">
        <v>1282</v>
      </c>
      <c r="G1275" s="18"/>
      <c r="H1275" s="18" t="str">
        <f>IF(LEFT('PL1(Full)'!$F1275,4)="Thôn","Thôn","Tổ")</f>
        <v>Thôn</v>
      </c>
      <c r="I1275" s="19">
        <v>90</v>
      </c>
      <c r="J1275" s="19">
        <v>403</v>
      </c>
      <c r="K1275" s="19">
        <v>87</v>
      </c>
      <c r="L1275" s="21">
        <f t="shared" si="0"/>
        <v>96.666666666666671</v>
      </c>
      <c r="M1275" s="19">
        <v>5</v>
      </c>
      <c r="N1275" s="22">
        <f t="shared" si="1"/>
        <v>5.5555555555555554</v>
      </c>
      <c r="O1275" s="19">
        <v>5</v>
      </c>
      <c r="P1275" s="22">
        <f t="shared" si="2"/>
        <v>100</v>
      </c>
      <c r="Q1275" s="87" t="s">
        <v>158</v>
      </c>
      <c r="R1275" s="87" t="str">
        <f t="shared" si="3"/>
        <v>X</v>
      </c>
      <c r="S1275" s="18"/>
      <c r="T1275" s="26" t="str">
        <f>IF('PL1(Full)'!$N1275&gt;=20,"x",IF(AND('PL1(Full)'!$N1275&gt;=15,'PL1(Full)'!$P1275&gt;60),"x",""))</f>
        <v/>
      </c>
      <c r="U1275" s="27" t="str">
        <f>IF(AND('PL1(Full)'!$H1275="Thôn",'PL1(Full)'!$I1275&lt;75),"x",IF(AND('PL1(Full)'!$H1275="Tổ",'PL1(Full)'!$I1275&lt;100),"x","-"))</f>
        <v>-</v>
      </c>
      <c r="V1275" s="28" t="str">
        <f>IF(AND('PL1(Full)'!$H1275="Thôn",'PL1(Full)'!$I1275&lt;140),"x",IF(AND('PL1(Full)'!$H1275="Tổ",'PL1(Full)'!$I1275&lt;210),"x","-"))</f>
        <v>x</v>
      </c>
      <c r="W1275" s="29" t="str">
        <f t="shared" ref="W1275:W1298" si="225">IF(I1275&gt;=150,"Loại 1",IF(I1275&gt;=100,"Loại 2","Loại 3"))</f>
        <v>Loại 3</v>
      </c>
      <c r="X1275" s="18"/>
    </row>
    <row r="1276" spans="1:24" ht="15.75" customHeight="1">
      <c r="A1276" s="30">
        <f>_xlfn.AGGREGATE(4,7,A$6:A1275)+1</f>
        <v>935</v>
      </c>
      <c r="B1276" s="31" t="str">
        <f t="shared" si="219"/>
        <v>TP. Bắc Kạn</v>
      </c>
      <c r="C1276" s="66" t="str">
        <f t="shared" ref="C1276:C1283" si="226">C1275</f>
        <v>X. Dương Quang</v>
      </c>
      <c r="D1276" s="32"/>
      <c r="E1276" s="32" t="s">
        <v>36</v>
      </c>
      <c r="F1276" s="66" t="s">
        <v>1283</v>
      </c>
      <c r="G1276" s="32"/>
      <c r="H1276" s="32" t="str">
        <f>IF(LEFT('PL1(Full)'!$F1276,4)="Thôn","Thôn","Tổ")</f>
        <v>Thôn</v>
      </c>
      <c r="I1276" s="35">
        <v>72</v>
      </c>
      <c r="J1276" s="35">
        <v>265</v>
      </c>
      <c r="K1276" s="35">
        <v>57</v>
      </c>
      <c r="L1276" s="37">
        <f t="shared" si="0"/>
        <v>79.166666666666671</v>
      </c>
      <c r="M1276" s="35">
        <v>1</v>
      </c>
      <c r="N1276" s="38">
        <f t="shared" si="1"/>
        <v>1.3888888888888888</v>
      </c>
      <c r="O1276" s="35">
        <v>1</v>
      </c>
      <c r="P1276" s="38">
        <f t="shared" si="2"/>
        <v>100</v>
      </c>
      <c r="Q1276" s="88" t="s">
        <v>158</v>
      </c>
      <c r="R1276" s="88" t="str">
        <f t="shared" si="3"/>
        <v>X</v>
      </c>
      <c r="S1276" s="32"/>
      <c r="T1276" s="34" t="str">
        <f>IF('PL1(Full)'!$N1276&gt;=20,"x",IF(AND('PL1(Full)'!$N1276&gt;=15,'PL1(Full)'!$P1276&gt;60),"x",""))</f>
        <v/>
      </c>
      <c r="U1276" s="34" t="str">
        <f>IF(AND('PL1(Full)'!$H1276="Thôn",'PL1(Full)'!$I1276&lt;75),"x",IF(AND('PL1(Full)'!$H1276="Tổ",'PL1(Full)'!$I1276&lt;100),"x","-"))</f>
        <v>x</v>
      </c>
      <c r="V1276" s="34" t="str">
        <f>IF(AND('PL1(Full)'!$H1276="Thôn",'PL1(Full)'!$I1276&lt;140),"x",IF(AND('PL1(Full)'!$H1276="Tổ",'PL1(Full)'!$I1276&lt;210),"x","-"))</f>
        <v>x</v>
      </c>
      <c r="W1276" s="40" t="str">
        <f t="shared" si="225"/>
        <v>Loại 3</v>
      </c>
      <c r="X1276" s="32"/>
    </row>
    <row r="1277" spans="1:24" ht="15.75" hidden="1" customHeight="1">
      <c r="A1277" s="30">
        <f>_xlfn.AGGREGATE(4,7,A$6:A1276)+1</f>
        <v>936</v>
      </c>
      <c r="B1277" s="31" t="str">
        <f t="shared" si="219"/>
        <v>TP. Bắc Kạn</v>
      </c>
      <c r="C1277" s="66" t="str">
        <f t="shared" si="226"/>
        <v>X. Dương Quang</v>
      </c>
      <c r="D1277" s="32"/>
      <c r="E1277" s="32" t="s">
        <v>36</v>
      </c>
      <c r="F1277" s="66" t="s">
        <v>1284</v>
      </c>
      <c r="G1277" s="34" t="s">
        <v>40</v>
      </c>
      <c r="H1277" s="32" t="str">
        <f>IF(LEFT('PL1(Full)'!$F1277,4)="Thôn","Thôn","Tổ")</f>
        <v>Thôn</v>
      </c>
      <c r="I1277" s="35">
        <v>102</v>
      </c>
      <c r="J1277" s="35">
        <v>378</v>
      </c>
      <c r="K1277" s="35">
        <v>77</v>
      </c>
      <c r="L1277" s="37">
        <f t="shared" si="0"/>
        <v>75.490196078431367</v>
      </c>
      <c r="M1277" s="35">
        <v>1</v>
      </c>
      <c r="N1277" s="38">
        <f t="shared" si="1"/>
        <v>0.98039215686274506</v>
      </c>
      <c r="O1277" s="35">
        <v>1</v>
      </c>
      <c r="P1277" s="38">
        <f t="shared" si="2"/>
        <v>100</v>
      </c>
      <c r="Q1277" s="88" t="s">
        <v>56</v>
      </c>
      <c r="R1277" s="88" t="str">
        <f t="shared" si="3"/>
        <v>X</v>
      </c>
      <c r="S1277" s="32"/>
      <c r="T1277" s="34" t="str">
        <f>IF('PL1(Full)'!$N1277&gt;=20,"x",IF(AND('PL1(Full)'!$N1277&gt;=15,'PL1(Full)'!$P1277&gt;60),"x",""))</f>
        <v/>
      </c>
      <c r="U1277" s="34" t="str">
        <f>IF(AND('PL1(Full)'!$H1277="Thôn",'PL1(Full)'!$I1277&lt;75),"x",IF(AND('PL1(Full)'!$H1277="Tổ",'PL1(Full)'!$I1277&lt;100),"x","-"))</f>
        <v>-</v>
      </c>
      <c r="V1277" s="34" t="str">
        <f>IF(AND('PL1(Full)'!$H1277="Thôn",'PL1(Full)'!$I1277&lt;140),"x",IF(AND('PL1(Full)'!$H1277="Tổ",'PL1(Full)'!$I1277&lt;210),"x","-"))</f>
        <v>x</v>
      </c>
      <c r="W1277" s="40" t="str">
        <f t="shared" si="225"/>
        <v>Loại 2</v>
      </c>
      <c r="X1277" s="32"/>
    </row>
    <row r="1278" spans="1:24" ht="15.75" hidden="1" customHeight="1">
      <c r="A1278" s="30">
        <f>_xlfn.AGGREGATE(4,7,A$6:A1277)+1</f>
        <v>936</v>
      </c>
      <c r="B1278" s="31" t="str">
        <f t="shared" si="219"/>
        <v>TP. Bắc Kạn</v>
      </c>
      <c r="C1278" s="66" t="str">
        <f t="shared" si="226"/>
        <v>X. Dương Quang</v>
      </c>
      <c r="D1278" s="32"/>
      <c r="E1278" s="32" t="s">
        <v>36</v>
      </c>
      <c r="F1278" s="66" t="s">
        <v>1285</v>
      </c>
      <c r="G1278" s="32"/>
      <c r="H1278" s="32" t="str">
        <f>IF(LEFT('PL1(Full)'!$F1278,4)="Thôn","Thôn","Tổ")</f>
        <v>Thôn</v>
      </c>
      <c r="I1278" s="35">
        <v>77</v>
      </c>
      <c r="J1278" s="35">
        <v>269</v>
      </c>
      <c r="K1278" s="35">
        <v>63</v>
      </c>
      <c r="L1278" s="37">
        <f t="shared" si="0"/>
        <v>81.818181818181813</v>
      </c>
      <c r="M1278" s="35">
        <v>4</v>
      </c>
      <c r="N1278" s="38">
        <f t="shared" si="1"/>
        <v>5.1948051948051948</v>
      </c>
      <c r="O1278" s="35">
        <v>2</v>
      </c>
      <c r="P1278" s="38">
        <f t="shared" si="2"/>
        <v>50</v>
      </c>
      <c r="Q1278" s="88" t="s">
        <v>56</v>
      </c>
      <c r="R1278" s="88" t="str">
        <f t="shared" si="3"/>
        <v>X</v>
      </c>
      <c r="S1278" s="32"/>
      <c r="T1278" s="34" t="str">
        <f>IF('PL1(Full)'!$N1278&gt;=20,"x",IF(AND('PL1(Full)'!$N1278&gt;=15,'PL1(Full)'!$P1278&gt;60),"x",""))</f>
        <v/>
      </c>
      <c r="U1278" s="34" t="str">
        <f>IF(AND('PL1(Full)'!$H1278="Thôn",'PL1(Full)'!$I1278&lt;75),"x",IF(AND('PL1(Full)'!$H1278="Tổ",'PL1(Full)'!$I1278&lt;100),"x","-"))</f>
        <v>-</v>
      </c>
      <c r="V1278" s="34" t="str">
        <f>IF(AND('PL1(Full)'!$H1278="Thôn",'PL1(Full)'!$I1278&lt;140),"x",IF(AND('PL1(Full)'!$H1278="Tổ",'PL1(Full)'!$I1278&lt;210),"x","-"))</f>
        <v>x</v>
      </c>
      <c r="W1278" s="40" t="str">
        <f t="shared" si="225"/>
        <v>Loại 3</v>
      </c>
      <c r="X1278" s="32"/>
    </row>
    <row r="1279" spans="1:24" ht="15.75" hidden="1" customHeight="1">
      <c r="A1279" s="30">
        <f>_xlfn.AGGREGATE(4,7,A$6:A1278)+1</f>
        <v>936</v>
      </c>
      <c r="B1279" s="31" t="str">
        <f t="shared" si="219"/>
        <v>TP. Bắc Kạn</v>
      </c>
      <c r="C1279" s="66" t="str">
        <f t="shared" si="226"/>
        <v>X. Dương Quang</v>
      </c>
      <c r="D1279" s="32"/>
      <c r="E1279" s="32" t="s">
        <v>36</v>
      </c>
      <c r="F1279" s="66" t="s">
        <v>1286</v>
      </c>
      <c r="G1279" s="32"/>
      <c r="H1279" s="32" t="str">
        <f>IF(LEFT('PL1(Full)'!$F1279,4)="Thôn","Thôn","Tổ")</f>
        <v>Thôn</v>
      </c>
      <c r="I1279" s="35">
        <v>112</v>
      </c>
      <c r="J1279" s="35">
        <v>447</v>
      </c>
      <c r="K1279" s="35">
        <v>94</v>
      </c>
      <c r="L1279" s="37">
        <f t="shared" si="0"/>
        <v>83.928571428571431</v>
      </c>
      <c r="M1279" s="35">
        <v>5</v>
      </c>
      <c r="N1279" s="38">
        <f t="shared" si="1"/>
        <v>4.4642857142857144</v>
      </c>
      <c r="O1279" s="35">
        <v>4</v>
      </c>
      <c r="P1279" s="38">
        <f t="shared" si="2"/>
        <v>80</v>
      </c>
      <c r="Q1279" s="88" t="s">
        <v>213</v>
      </c>
      <c r="R1279" s="88" t="str">
        <f t="shared" si="3"/>
        <v>X</v>
      </c>
      <c r="S1279" s="32"/>
      <c r="T1279" s="34" t="str">
        <f>IF('PL1(Full)'!$N1279&gt;=20,"x",IF(AND('PL1(Full)'!$N1279&gt;=15,'PL1(Full)'!$P1279&gt;60),"x",""))</f>
        <v/>
      </c>
      <c r="U1279" s="34" t="str">
        <f>IF(AND('PL1(Full)'!$H1279="Thôn",'PL1(Full)'!$I1279&lt;75),"x",IF(AND('PL1(Full)'!$H1279="Tổ",'PL1(Full)'!$I1279&lt;100),"x","-"))</f>
        <v>-</v>
      </c>
      <c r="V1279" s="34" t="str">
        <f>IF(AND('PL1(Full)'!$H1279="Thôn",'PL1(Full)'!$I1279&lt;140),"x",IF(AND('PL1(Full)'!$H1279="Tổ",'PL1(Full)'!$I1279&lt;210),"x","-"))</f>
        <v>x</v>
      </c>
      <c r="W1279" s="40" t="str">
        <f t="shared" si="225"/>
        <v>Loại 2</v>
      </c>
      <c r="X1279" s="32"/>
    </row>
    <row r="1280" spans="1:24" ht="15.75" hidden="1" customHeight="1">
      <c r="A1280" s="30">
        <f>_xlfn.AGGREGATE(4,7,A$6:A1279)+1</f>
        <v>936</v>
      </c>
      <c r="B1280" s="31" t="str">
        <f t="shared" si="219"/>
        <v>TP. Bắc Kạn</v>
      </c>
      <c r="C1280" s="66" t="str">
        <f t="shared" si="226"/>
        <v>X. Dương Quang</v>
      </c>
      <c r="D1280" s="32"/>
      <c r="E1280" s="32" t="s">
        <v>36</v>
      </c>
      <c r="F1280" s="66" t="s">
        <v>1287</v>
      </c>
      <c r="G1280" s="34" t="s">
        <v>40</v>
      </c>
      <c r="H1280" s="32" t="str">
        <f>IF(LEFT('PL1(Full)'!$F1280,4)="Thôn","Thôn","Tổ")</f>
        <v>Thôn</v>
      </c>
      <c r="I1280" s="35">
        <v>130</v>
      </c>
      <c r="J1280" s="35">
        <v>438</v>
      </c>
      <c r="K1280" s="35">
        <v>117</v>
      </c>
      <c r="L1280" s="37">
        <f t="shared" si="0"/>
        <v>90</v>
      </c>
      <c r="M1280" s="35">
        <v>6</v>
      </c>
      <c r="N1280" s="38">
        <f t="shared" si="1"/>
        <v>4.615384615384615</v>
      </c>
      <c r="O1280" s="35">
        <v>5</v>
      </c>
      <c r="P1280" s="38">
        <f t="shared" si="2"/>
        <v>83.333333333333329</v>
      </c>
      <c r="Q1280" s="88" t="s">
        <v>158</v>
      </c>
      <c r="R1280" s="88" t="str">
        <f t="shared" si="3"/>
        <v>X</v>
      </c>
      <c r="S1280" s="32"/>
      <c r="T1280" s="34" t="str">
        <f>IF('PL1(Full)'!$N1280&gt;=20,"x",IF(AND('PL1(Full)'!$N1280&gt;=15,'PL1(Full)'!$P1280&gt;60),"x",""))</f>
        <v/>
      </c>
      <c r="U1280" s="34" t="str">
        <f>IF(AND('PL1(Full)'!$H1280="Thôn",'PL1(Full)'!$I1280&lt;75),"x",IF(AND('PL1(Full)'!$H1280="Tổ",'PL1(Full)'!$I1280&lt;100),"x","-"))</f>
        <v>-</v>
      </c>
      <c r="V1280" s="50" t="str">
        <f>IF(AND('PL1(Full)'!$H1280="Thôn",'PL1(Full)'!$I1280&lt;140),"x",IF(AND('PL1(Full)'!$H1280="Tổ",'PL1(Full)'!$I1280&lt;210),"x","-"))</f>
        <v>x</v>
      </c>
      <c r="W1280" s="40" t="str">
        <f t="shared" si="225"/>
        <v>Loại 2</v>
      </c>
      <c r="X1280" s="32"/>
    </row>
    <row r="1281" spans="1:24" ht="15.75" customHeight="1">
      <c r="A1281" s="30">
        <f>_xlfn.AGGREGATE(4,7,A$6:A1280)+1</f>
        <v>936</v>
      </c>
      <c r="B1281" s="31" t="str">
        <f t="shared" si="219"/>
        <v>TP. Bắc Kạn</v>
      </c>
      <c r="C1281" s="66" t="str">
        <f t="shared" si="226"/>
        <v>X. Dương Quang</v>
      </c>
      <c r="D1281" s="32"/>
      <c r="E1281" s="32" t="s">
        <v>36</v>
      </c>
      <c r="F1281" s="66" t="s">
        <v>334</v>
      </c>
      <c r="G1281" s="32"/>
      <c r="H1281" s="32" t="str">
        <f>IF(LEFT('PL1(Full)'!$F1281,4)="Thôn","Thôn","Tổ")</f>
        <v>Thôn</v>
      </c>
      <c r="I1281" s="35">
        <v>38</v>
      </c>
      <c r="J1281" s="35">
        <v>150</v>
      </c>
      <c r="K1281" s="35">
        <v>20</v>
      </c>
      <c r="L1281" s="37">
        <f t="shared" si="0"/>
        <v>52.631578947368418</v>
      </c>
      <c r="M1281" s="35">
        <v>2</v>
      </c>
      <c r="N1281" s="38">
        <f t="shared" si="1"/>
        <v>5.2631578947368425</v>
      </c>
      <c r="O1281" s="35">
        <v>1</v>
      </c>
      <c r="P1281" s="38">
        <f t="shared" si="2"/>
        <v>50</v>
      </c>
      <c r="Q1281" s="88" t="s">
        <v>63</v>
      </c>
      <c r="R1281" s="88" t="str">
        <f t="shared" si="3"/>
        <v>X</v>
      </c>
      <c r="S1281" s="32"/>
      <c r="T1281" s="34"/>
      <c r="U1281" s="34" t="str">
        <f>IF(AND('PL1(Full)'!$H1281="Thôn",'PL1(Full)'!$I1281&lt;75),"x",IF(AND('PL1(Full)'!$H1281="Tổ",'PL1(Full)'!$I1281&lt;100),"x","-"))</f>
        <v>x</v>
      </c>
      <c r="V1281" s="145" t="str">
        <f>IF(AND('PL1(Full)'!$H1281="Thôn",'PL1(Full)'!$I1281&lt;140),"x",IF(AND('PL1(Full)'!$H1281="Tổ",'PL1(Full)'!$I1281&lt;210),"x","-"))</f>
        <v>x</v>
      </c>
      <c r="W1281" s="40" t="str">
        <f t="shared" si="225"/>
        <v>Loại 3</v>
      </c>
      <c r="X1281" s="32"/>
    </row>
    <row r="1282" spans="1:24" ht="15.75" hidden="1" customHeight="1">
      <c r="A1282" s="30">
        <f>_xlfn.AGGREGATE(4,7,A$6:A1281)+1</f>
        <v>937</v>
      </c>
      <c r="B1282" s="31" t="str">
        <f t="shared" si="219"/>
        <v>TP. Bắc Kạn</v>
      </c>
      <c r="C1282" s="66" t="str">
        <f t="shared" si="226"/>
        <v>X. Dương Quang</v>
      </c>
      <c r="D1282" s="34"/>
      <c r="E1282" s="34" t="s">
        <v>36</v>
      </c>
      <c r="F1282" s="54" t="s">
        <v>1288</v>
      </c>
      <c r="G1282" s="34"/>
      <c r="H1282" s="34" t="str">
        <f>IF(LEFT('PL1(Full)'!$F1282,4)="Thôn","Thôn","Tổ")</f>
        <v>Thôn</v>
      </c>
      <c r="I1282" s="36">
        <v>147</v>
      </c>
      <c r="J1282" s="36">
        <v>505</v>
      </c>
      <c r="K1282" s="36">
        <v>103</v>
      </c>
      <c r="L1282" s="37">
        <f t="shared" si="0"/>
        <v>70.068027210884352</v>
      </c>
      <c r="M1282" s="36">
        <v>1</v>
      </c>
      <c r="N1282" s="38">
        <f t="shared" si="1"/>
        <v>0.68027210884353739</v>
      </c>
      <c r="O1282" s="36">
        <v>1</v>
      </c>
      <c r="P1282" s="38">
        <f t="shared" si="2"/>
        <v>100</v>
      </c>
      <c r="Q1282" s="39" t="s">
        <v>56</v>
      </c>
      <c r="R1282" s="39" t="str">
        <f t="shared" si="3"/>
        <v>X</v>
      </c>
      <c r="S1282" s="34"/>
      <c r="T1282" s="34" t="str">
        <f>IF('PL1(Full)'!$N1282&gt;=20,"x",IF(AND('PL1(Full)'!$N1282&gt;=15,'PL1(Full)'!$P1282&gt;60),"x",""))</f>
        <v/>
      </c>
      <c r="U1282" s="34" t="str">
        <f>IF(AND('PL1(Full)'!$H1282="Thôn",'PL1(Full)'!$I1282&lt;75),"x",IF(AND('PL1(Full)'!$H1282="Tổ",'PL1(Full)'!$I1282&lt;100),"x","-"))</f>
        <v>-</v>
      </c>
      <c r="V1282" s="34" t="str">
        <f>IF(AND('PL1(Full)'!$H1282="Thôn",'PL1(Full)'!$I1282&lt;140),"x",IF(AND('PL1(Full)'!$H1282="Tổ",'PL1(Full)'!$I1282&lt;210),"x","-"))</f>
        <v>-</v>
      </c>
      <c r="W1282" s="40" t="str">
        <f t="shared" si="225"/>
        <v>Loại 2</v>
      </c>
      <c r="X1282" s="34"/>
    </row>
    <row r="1283" spans="1:24" ht="15.75" hidden="1" customHeight="1">
      <c r="A1283" s="41">
        <f>_xlfn.AGGREGATE(4,7,A$6:A1282)+1</f>
        <v>937</v>
      </c>
      <c r="B1283" s="42" t="str">
        <f t="shared" si="219"/>
        <v>TP. Bắc Kạn</v>
      </c>
      <c r="C1283" s="67" t="str">
        <f t="shared" si="226"/>
        <v>X. Dương Quang</v>
      </c>
      <c r="D1283" s="43"/>
      <c r="E1283" s="43" t="s">
        <v>36</v>
      </c>
      <c r="F1283" s="67" t="s">
        <v>1289</v>
      </c>
      <c r="G1283" s="43"/>
      <c r="H1283" s="43" t="str">
        <f>IF(LEFT('PL1(Full)'!$F1283,4)="Thôn","Thôn","Tổ")</f>
        <v>Thôn</v>
      </c>
      <c r="I1283" s="45">
        <v>94</v>
      </c>
      <c r="J1283" s="45">
        <v>369</v>
      </c>
      <c r="K1283" s="45">
        <v>73</v>
      </c>
      <c r="L1283" s="47">
        <f t="shared" si="0"/>
        <v>77.659574468085111</v>
      </c>
      <c r="M1283" s="45">
        <v>3</v>
      </c>
      <c r="N1283" s="48">
        <f t="shared" si="1"/>
        <v>3.1914893617021276</v>
      </c>
      <c r="O1283" s="45">
        <v>2</v>
      </c>
      <c r="P1283" s="48">
        <f t="shared" si="2"/>
        <v>66.666666666666671</v>
      </c>
      <c r="Q1283" s="89" t="s">
        <v>150</v>
      </c>
      <c r="R1283" s="89" t="str">
        <f t="shared" si="3"/>
        <v>X</v>
      </c>
      <c r="S1283" s="43"/>
      <c r="T1283" s="50" t="str">
        <f>IF('PL1(Full)'!$N1283&gt;=20,"x",IF(AND('PL1(Full)'!$N1283&gt;=15,'PL1(Full)'!$P1283&gt;60),"x",""))</f>
        <v/>
      </c>
      <c r="U1283" s="50" t="str">
        <f>IF(AND('PL1(Full)'!$H1283="Thôn",'PL1(Full)'!$I1283&lt;75),"x",IF(AND('PL1(Full)'!$H1283="Tổ",'PL1(Full)'!$I1283&lt;100),"x","-"))</f>
        <v>-</v>
      </c>
      <c r="V1283" s="34" t="str">
        <f>IF(AND('PL1(Full)'!$H1283="Thôn",'PL1(Full)'!$I1283&lt;140),"x",IF(AND('PL1(Full)'!$H1283="Tổ",'PL1(Full)'!$I1283&lt;210),"x","-"))</f>
        <v>x</v>
      </c>
      <c r="W1283" s="51" t="str">
        <f t="shared" si="225"/>
        <v>Loại 3</v>
      </c>
      <c r="X1283" s="43"/>
    </row>
    <row r="1284" spans="1:24" ht="15.75" customHeight="1">
      <c r="A1284" s="52">
        <f>_xlfn.AGGREGATE(4,7,A$6:A1283)+1</f>
        <v>937</v>
      </c>
      <c r="B1284" s="14" t="str">
        <f t="shared" si="219"/>
        <v>TP. Bắc Kạn</v>
      </c>
      <c r="C1284" s="14" t="s">
        <v>1290</v>
      </c>
      <c r="D1284" s="25" t="s">
        <v>36</v>
      </c>
      <c r="E1284" s="25" t="s">
        <v>36</v>
      </c>
      <c r="F1284" s="53" t="s">
        <v>1291</v>
      </c>
      <c r="G1284" s="25"/>
      <c r="H1284" s="25" t="str">
        <f>IF(LEFT('PL1(Full)'!$F1284,4)="Thôn","Thôn","Tổ")</f>
        <v>Thôn</v>
      </c>
      <c r="I1284" s="20">
        <v>35</v>
      </c>
      <c r="J1284" s="20">
        <v>157</v>
      </c>
      <c r="K1284" s="20">
        <v>21</v>
      </c>
      <c r="L1284" s="21">
        <f t="shared" si="0"/>
        <v>60</v>
      </c>
      <c r="M1284" s="20">
        <v>0</v>
      </c>
      <c r="N1284" s="22">
        <f t="shared" si="1"/>
        <v>0</v>
      </c>
      <c r="O1284" s="20">
        <v>0</v>
      </c>
      <c r="P1284" s="22">
        <f t="shared" si="2"/>
        <v>0</v>
      </c>
      <c r="Q1284" s="23" t="s">
        <v>56</v>
      </c>
      <c r="R1284" s="24" t="str">
        <f t="shared" si="3"/>
        <v>X</v>
      </c>
      <c r="S1284" s="25"/>
      <c r="T1284" s="26"/>
      <c r="U1284" s="27" t="str">
        <f>IF(AND('PL1(Full)'!$H1284="Thôn",'PL1(Full)'!$I1284&lt;75),"x",IF(AND('PL1(Full)'!$H1284="Tổ",'PL1(Full)'!$I1284&lt;100),"x","-"))</f>
        <v>x</v>
      </c>
      <c r="V1284" s="28" t="str">
        <f>IF(AND('PL1(Full)'!$H1284="Thôn",'PL1(Full)'!$I1284&lt;140),"x",IF(AND('PL1(Full)'!$H1284="Tổ",'PL1(Full)'!$I1284&lt;210),"x","-"))</f>
        <v>x</v>
      </c>
      <c r="W1284" s="29" t="str">
        <f t="shared" si="225"/>
        <v>Loại 3</v>
      </c>
      <c r="X1284" s="25"/>
    </row>
    <row r="1285" spans="1:24" ht="15.75" customHeight="1">
      <c r="A1285" s="30">
        <f>_xlfn.AGGREGATE(4,7,A$6:A1284)+1</f>
        <v>938</v>
      </c>
      <c r="B1285" s="31" t="str">
        <f t="shared" si="219"/>
        <v>TP. Bắc Kạn</v>
      </c>
      <c r="C1285" s="66" t="str">
        <f t="shared" ref="C1285:C1298" si="227">C1284</f>
        <v>X. Nông Thượng</v>
      </c>
      <c r="D1285" s="34"/>
      <c r="E1285" s="34" t="s">
        <v>36</v>
      </c>
      <c r="F1285" s="54" t="s">
        <v>1292</v>
      </c>
      <c r="G1285" s="34"/>
      <c r="H1285" s="34" t="str">
        <f>IF(LEFT('PL1(Full)'!$F1285,4)="Thôn","Thôn","Tổ")</f>
        <v>Thôn</v>
      </c>
      <c r="I1285" s="36">
        <v>42</v>
      </c>
      <c r="J1285" s="36">
        <v>198</v>
      </c>
      <c r="K1285" s="36">
        <v>42</v>
      </c>
      <c r="L1285" s="37">
        <f t="shared" si="0"/>
        <v>100</v>
      </c>
      <c r="M1285" s="36">
        <v>0</v>
      </c>
      <c r="N1285" s="38">
        <f t="shared" si="1"/>
        <v>0</v>
      </c>
      <c r="O1285" s="36">
        <v>0</v>
      </c>
      <c r="P1285" s="38">
        <f t="shared" si="2"/>
        <v>0</v>
      </c>
      <c r="Q1285" s="39" t="s">
        <v>56</v>
      </c>
      <c r="R1285" s="39" t="str">
        <f t="shared" si="3"/>
        <v>X</v>
      </c>
      <c r="S1285" s="34"/>
      <c r="T1285" s="34" t="str">
        <f>IF('PL1(Full)'!$N1285&gt;=20,"x",IF(AND('PL1(Full)'!$N1285&gt;=15,'PL1(Full)'!$P1285&gt;60),"x",""))</f>
        <v/>
      </c>
      <c r="U1285" s="34" t="str">
        <f>IF(AND('PL1(Full)'!$H1285="Thôn",'PL1(Full)'!$I1285&lt;75),"x",IF(AND('PL1(Full)'!$H1285="Tổ",'PL1(Full)'!$I1285&lt;100),"x","-"))</f>
        <v>x</v>
      </c>
      <c r="V1285" s="34" t="str">
        <f>IF(AND('PL1(Full)'!$H1285="Thôn",'PL1(Full)'!$I1285&lt;140),"x",IF(AND('PL1(Full)'!$H1285="Tổ",'PL1(Full)'!$I1285&lt;210),"x","-"))</f>
        <v>x</v>
      </c>
      <c r="W1285" s="40" t="str">
        <f t="shared" si="225"/>
        <v>Loại 3</v>
      </c>
      <c r="X1285" s="34"/>
    </row>
    <row r="1286" spans="1:24" ht="15.75" customHeight="1">
      <c r="A1286" s="30">
        <f>_xlfn.AGGREGATE(4,7,A$6:A1285)+1</f>
        <v>939</v>
      </c>
      <c r="B1286" s="31" t="str">
        <f t="shared" si="219"/>
        <v>TP. Bắc Kạn</v>
      </c>
      <c r="C1286" s="66" t="str">
        <f t="shared" si="227"/>
        <v>X. Nông Thượng</v>
      </c>
      <c r="D1286" s="34"/>
      <c r="E1286" s="34" t="s">
        <v>36</v>
      </c>
      <c r="F1286" s="54" t="s">
        <v>859</v>
      </c>
      <c r="G1286" s="34"/>
      <c r="H1286" s="34" t="str">
        <f>IF(LEFT('PL1(Full)'!$F1286,4)="Thôn","Thôn","Tổ")</f>
        <v>Thôn</v>
      </c>
      <c r="I1286" s="36">
        <v>28</v>
      </c>
      <c r="J1286" s="36">
        <v>118</v>
      </c>
      <c r="K1286" s="36">
        <v>28</v>
      </c>
      <c r="L1286" s="37">
        <f t="shared" si="0"/>
        <v>100</v>
      </c>
      <c r="M1286" s="36">
        <v>0</v>
      </c>
      <c r="N1286" s="38">
        <f t="shared" si="1"/>
        <v>0</v>
      </c>
      <c r="O1286" s="36">
        <v>0</v>
      </c>
      <c r="P1286" s="38">
        <f t="shared" si="2"/>
        <v>0</v>
      </c>
      <c r="Q1286" s="39" t="s">
        <v>56</v>
      </c>
      <c r="R1286" s="39" t="str">
        <f t="shared" si="3"/>
        <v>X</v>
      </c>
      <c r="S1286" s="34"/>
      <c r="T1286" s="34"/>
      <c r="U1286" s="34" t="str">
        <f>IF(AND('PL1(Full)'!$H1286="Thôn",'PL1(Full)'!$I1286&lt;75),"x",IF(AND('PL1(Full)'!$H1286="Tổ",'PL1(Full)'!$I1286&lt;100),"x","-"))</f>
        <v>x</v>
      </c>
      <c r="V1286" s="34" t="str">
        <f>IF(AND('PL1(Full)'!$H1286="Thôn",'PL1(Full)'!$I1286&lt;140),"x",IF(AND('PL1(Full)'!$H1286="Tổ",'PL1(Full)'!$I1286&lt;210),"x","-"))</f>
        <v>x</v>
      </c>
      <c r="W1286" s="40" t="str">
        <f t="shared" si="225"/>
        <v>Loại 3</v>
      </c>
      <c r="X1286" s="34"/>
    </row>
    <row r="1287" spans="1:24" ht="15.75" hidden="1" customHeight="1">
      <c r="A1287" s="30">
        <f>_xlfn.AGGREGATE(4,7,A$6:A1286)+1</f>
        <v>940</v>
      </c>
      <c r="B1287" s="31" t="str">
        <f t="shared" si="219"/>
        <v>TP. Bắc Kạn</v>
      </c>
      <c r="C1287" s="66" t="str">
        <f t="shared" si="227"/>
        <v>X. Nông Thượng</v>
      </c>
      <c r="D1287" s="34"/>
      <c r="E1287" s="34" t="s">
        <v>36</v>
      </c>
      <c r="F1287" s="54" t="s">
        <v>1293</v>
      </c>
      <c r="G1287" s="34"/>
      <c r="H1287" s="34" t="str">
        <f>IF(LEFT('PL1(Full)'!$F1287,4)="Thôn","Thôn","Tổ")</f>
        <v>Thôn</v>
      </c>
      <c r="I1287" s="36">
        <v>92</v>
      </c>
      <c r="J1287" s="36">
        <v>345</v>
      </c>
      <c r="K1287" s="36">
        <v>90</v>
      </c>
      <c r="L1287" s="37">
        <f t="shared" si="0"/>
        <v>97.826086956521735</v>
      </c>
      <c r="M1287" s="36">
        <v>3</v>
      </c>
      <c r="N1287" s="38">
        <f t="shared" si="1"/>
        <v>3.2608695652173911</v>
      </c>
      <c r="O1287" s="36">
        <v>3</v>
      </c>
      <c r="P1287" s="38">
        <f t="shared" si="2"/>
        <v>100</v>
      </c>
      <c r="Q1287" s="39" t="s">
        <v>56</v>
      </c>
      <c r="R1287" s="39" t="str">
        <f t="shared" si="3"/>
        <v>X</v>
      </c>
      <c r="S1287" s="34"/>
      <c r="T1287" s="34"/>
      <c r="U1287" s="34" t="str">
        <f>IF(AND('PL1(Full)'!$H1287="Thôn",'PL1(Full)'!$I1287&lt;75),"x",IF(AND('PL1(Full)'!$H1287="Tổ",'PL1(Full)'!$I1287&lt;100),"x","-"))</f>
        <v>-</v>
      </c>
      <c r="V1287" s="34" t="str">
        <f>IF(AND('PL1(Full)'!$H1287="Thôn",'PL1(Full)'!$I1287&lt;140),"x",IF(AND('PL1(Full)'!$H1287="Tổ",'PL1(Full)'!$I1287&lt;210),"x","-"))</f>
        <v>x</v>
      </c>
      <c r="W1287" s="40" t="str">
        <f t="shared" si="225"/>
        <v>Loại 3</v>
      </c>
      <c r="X1287" s="34"/>
    </row>
    <row r="1288" spans="1:24" ht="15.75" customHeight="1">
      <c r="A1288" s="30">
        <f>_xlfn.AGGREGATE(4,7,A$6:A1287)+1</f>
        <v>940</v>
      </c>
      <c r="B1288" s="31" t="str">
        <f t="shared" si="219"/>
        <v>TP. Bắc Kạn</v>
      </c>
      <c r="C1288" s="66" t="str">
        <f t="shared" si="227"/>
        <v>X. Nông Thượng</v>
      </c>
      <c r="D1288" s="34"/>
      <c r="E1288" s="34" t="s">
        <v>36</v>
      </c>
      <c r="F1288" s="54" t="s">
        <v>382</v>
      </c>
      <c r="G1288" s="34"/>
      <c r="H1288" s="34" t="str">
        <f>IF(LEFT('PL1(Full)'!$F1288,4)="Thôn","Thôn","Tổ")</f>
        <v>Thôn</v>
      </c>
      <c r="I1288" s="36">
        <v>67</v>
      </c>
      <c r="J1288" s="36">
        <v>276</v>
      </c>
      <c r="K1288" s="36">
        <v>60</v>
      </c>
      <c r="L1288" s="37">
        <f t="shared" si="0"/>
        <v>89.552238805970148</v>
      </c>
      <c r="M1288" s="36">
        <v>0</v>
      </c>
      <c r="N1288" s="38">
        <f t="shared" si="1"/>
        <v>0</v>
      </c>
      <c r="O1288" s="36">
        <v>0</v>
      </c>
      <c r="P1288" s="38">
        <f t="shared" si="2"/>
        <v>0</v>
      </c>
      <c r="Q1288" s="39" t="s">
        <v>56</v>
      </c>
      <c r="R1288" s="39" t="str">
        <f t="shared" si="3"/>
        <v>X</v>
      </c>
      <c r="S1288" s="34"/>
      <c r="T1288" s="34" t="str">
        <f>IF('PL1(Full)'!$N1288&gt;=20,"x",IF(AND('PL1(Full)'!$N1288&gt;=15,'PL1(Full)'!$P1288&gt;60),"x",""))</f>
        <v/>
      </c>
      <c r="U1288" s="34" t="str">
        <f>IF(AND('PL1(Full)'!$H1288="Thôn",'PL1(Full)'!$I1288&lt;75),"x",IF(AND('PL1(Full)'!$H1288="Tổ",'PL1(Full)'!$I1288&lt;100),"x","-"))</f>
        <v>x</v>
      </c>
      <c r="V1288" s="34" t="str">
        <f>IF(AND('PL1(Full)'!$H1288="Thôn",'PL1(Full)'!$I1288&lt;140),"x",IF(AND('PL1(Full)'!$H1288="Tổ",'PL1(Full)'!$I1288&lt;210),"x","-"))</f>
        <v>x</v>
      </c>
      <c r="W1288" s="40" t="str">
        <f t="shared" si="225"/>
        <v>Loại 3</v>
      </c>
      <c r="X1288" s="34"/>
    </row>
    <row r="1289" spans="1:24" ht="15.75" customHeight="1">
      <c r="A1289" s="30">
        <f>_xlfn.AGGREGATE(4,7,A$6:A1288)+1</f>
        <v>941</v>
      </c>
      <c r="B1289" s="31" t="str">
        <f t="shared" si="219"/>
        <v>TP. Bắc Kạn</v>
      </c>
      <c r="C1289" s="66" t="str">
        <f t="shared" si="227"/>
        <v>X. Nông Thượng</v>
      </c>
      <c r="D1289" s="34"/>
      <c r="E1289" s="34" t="s">
        <v>36</v>
      </c>
      <c r="F1289" s="54" t="s">
        <v>1294</v>
      </c>
      <c r="G1289" s="34"/>
      <c r="H1289" s="34" t="str">
        <f>IF(LEFT('PL1(Full)'!$F1289,4)="Thôn","Thôn","Tổ")</f>
        <v>Thôn</v>
      </c>
      <c r="I1289" s="36">
        <v>44</v>
      </c>
      <c r="J1289" s="36">
        <v>171</v>
      </c>
      <c r="K1289" s="36">
        <v>40</v>
      </c>
      <c r="L1289" s="37">
        <f t="shared" si="0"/>
        <v>90.909090909090907</v>
      </c>
      <c r="M1289" s="36">
        <v>2</v>
      </c>
      <c r="N1289" s="38">
        <f t="shared" si="1"/>
        <v>4.5454545454545459</v>
      </c>
      <c r="O1289" s="36">
        <v>2</v>
      </c>
      <c r="P1289" s="38">
        <f t="shared" si="2"/>
        <v>100</v>
      </c>
      <c r="Q1289" s="39" t="s">
        <v>56</v>
      </c>
      <c r="R1289" s="39" t="str">
        <f t="shared" si="3"/>
        <v>X</v>
      </c>
      <c r="S1289" s="34"/>
      <c r="T1289" s="34"/>
      <c r="U1289" s="34" t="str">
        <f>IF(AND('PL1(Full)'!$H1289="Thôn",'PL1(Full)'!$I1289&lt;75),"x",IF(AND('PL1(Full)'!$H1289="Tổ",'PL1(Full)'!$I1289&lt;100),"x","-"))</f>
        <v>x</v>
      </c>
      <c r="V1289" s="34" t="str">
        <f>IF(AND('PL1(Full)'!$H1289="Thôn",'PL1(Full)'!$I1289&lt;140),"x",IF(AND('PL1(Full)'!$H1289="Tổ",'PL1(Full)'!$I1289&lt;210),"x","-"))</f>
        <v>x</v>
      </c>
      <c r="W1289" s="40" t="str">
        <f t="shared" si="225"/>
        <v>Loại 3</v>
      </c>
      <c r="X1289" s="34"/>
    </row>
    <row r="1290" spans="1:24" ht="15.75" customHeight="1">
      <c r="A1290" s="30">
        <f>_xlfn.AGGREGATE(4,7,A$6:A1289)+1</f>
        <v>942</v>
      </c>
      <c r="B1290" s="31" t="str">
        <f t="shared" si="219"/>
        <v>TP. Bắc Kạn</v>
      </c>
      <c r="C1290" s="66" t="str">
        <f t="shared" si="227"/>
        <v>X. Nông Thượng</v>
      </c>
      <c r="D1290" s="34"/>
      <c r="E1290" s="34" t="s">
        <v>36</v>
      </c>
      <c r="F1290" s="54" t="s">
        <v>316</v>
      </c>
      <c r="G1290" s="34"/>
      <c r="H1290" s="34" t="str">
        <f>IF(LEFT('PL1(Full)'!$F1290,4)="Thôn","Thôn","Tổ")</f>
        <v>Thôn</v>
      </c>
      <c r="I1290" s="36">
        <v>56</v>
      </c>
      <c r="J1290" s="36">
        <v>213</v>
      </c>
      <c r="K1290" s="36">
        <v>55</v>
      </c>
      <c r="L1290" s="37">
        <f t="shared" si="0"/>
        <v>98.214285714285708</v>
      </c>
      <c r="M1290" s="36">
        <v>2</v>
      </c>
      <c r="N1290" s="38">
        <f t="shared" si="1"/>
        <v>3.5714285714285716</v>
      </c>
      <c r="O1290" s="36">
        <v>2</v>
      </c>
      <c r="P1290" s="38">
        <f t="shared" si="2"/>
        <v>100</v>
      </c>
      <c r="Q1290" s="39" t="s">
        <v>56</v>
      </c>
      <c r="R1290" s="39" t="str">
        <f t="shared" si="3"/>
        <v>X</v>
      </c>
      <c r="S1290" s="34"/>
      <c r="T1290" s="34" t="str">
        <f>IF('PL1(Full)'!$N1290&gt;=20,"x",IF(AND('PL1(Full)'!$N1290&gt;=15,'PL1(Full)'!$P1290&gt;60),"x",""))</f>
        <v/>
      </c>
      <c r="U1290" s="34" t="str">
        <f>IF(AND('PL1(Full)'!$H1290="Thôn",'PL1(Full)'!$I1290&lt;75),"x",IF(AND('PL1(Full)'!$H1290="Tổ",'PL1(Full)'!$I1290&lt;100),"x","-"))</f>
        <v>x</v>
      </c>
      <c r="V1290" s="34" t="str">
        <f>IF(AND('PL1(Full)'!$H1290="Thôn",'PL1(Full)'!$I1290&lt;140),"x",IF(AND('PL1(Full)'!$H1290="Tổ",'PL1(Full)'!$I1290&lt;210),"x","-"))</f>
        <v>x</v>
      </c>
      <c r="W1290" s="40" t="str">
        <f t="shared" si="225"/>
        <v>Loại 3</v>
      </c>
      <c r="X1290" s="34"/>
    </row>
    <row r="1291" spans="1:24" ht="15.75" customHeight="1">
      <c r="A1291" s="30">
        <f>_xlfn.AGGREGATE(4,7,A$6:A1290)+1</f>
        <v>943</v>
      </c>
      <c r="B1291" s="31" t="str">
        <f t="shared" si="219"/>
        <v>TP. Bắc Kạn</v>
      </c>
      <c r="C1291" s="66" t="str">
        <f t="shared" si="227"/>
        <v>X. Nông Thượng</v>
      </c>
      <c r="D1291" s="34"/>
      <c r="E1291" s="34" t="s">
        <v>36</v>
      </c>
      <c r="F1291" s="54" t="s">
        <v>1295</v>
      </c>
      <c r="G1291" s="34"/>
      <c r="H1291" s="34" t="str">
        <f>IF(LEFT('PL1(Full)'!$F1291,4)="Thôn","Thôn","Tổ")</f>
        <v>Thôn</v>
      </c>
      <c r="I1291" s="36">
        <v>61</v>
      </c>
      <c r="J1291" s="36">
        <v>224</v>
      </c>
      <c r="K1291" s="36">
        <v>46</v>
      </c>
      <c r="L1291" s="37">
        <f t="shared" si="0"/>
        <v>75.409836065573771</v>
      </c>
      <c r="M1291" s="36">
        <v>0</v>
      </c>
      <c r="N1291" s="38">
        <f t="shared" si="1"/>
        <v>0</v>
      </c>
      <c r="O1291" s="36">
        <v>0</v>
      </c>
      <c r="P1291" s="38">
        <f t="shared" si="2"/>
        <v>0</v>
      </c>
      <c r="Q1291" s="39" t="s">
        <v>56</v>
      </c>
      <c r="R1291" s="39" t="str">
        <f t="shared" si="3"/>
        <v>X</v>
      </c>
      <c r="S1291" s="34"/>
      <c r="T1291" s="34"/>
      <c r="U1291" s="34" t="str">
        <f>IF(AND('PL1(Full)'!$H1291="Thôn",'PL1(Full)'!$I1291&lt;75),"x",IF(AND('PL1(Full)'!$H1291="Tổ",'PL1(Full)'!$I1291&lt;100),"x","-"))</f>
        <v>x</v>
      </c>
      <c r="V1291" s="34" t="str">
        <f>IF(AND('PL1(Full)'!$H1291="Thôn",'PL1(Full)'!$I1291&lt;140),"x",IF(AND('PL1(Full)'!$H1291="Tổ",'PL1(Full)'!$I1291&lt;210),"x","-"))</f>
        <v>x</v>
      </c>
      <c r="W1291" s="40" t="str">
        <f t="shared" si="225"/>
        <v>Loại 3</v>
      </c>
      <c r="X1291" s="34"/>
    </row>
    <row r="1292" spans="1:24" ht="15.75" customHeight="1">
      <c r="A1292" s="30">
        <f>_xlfn.AGGREGATE(4,7,A$6:A1291)+1</f>
        <v>944</v>
      </c>
      <c r="B1292" s="31" t="str">
        <f t="shared" si="219"/>
        <v>TP. Bắc Kạn</v>
      </c>
      <c r="C1292" s="66" t="str">
        <f t="shared" si="227"/>
        <v>X. Nông Thượng</v>
      </c>
      <c r="D1292" s="34"/>
      <c r="E1292" s="34" t="s">
        <v>36</v>
      </c>
      <c r="F1292" s="54" t="s">
        <v>1296</v>
      </c>
      <c r="G1292" s="34"/>
      <c r="H1292" s="34" t="str">
        <f>IF(LEFT('PL1(Full)'!$F1292,4)="Thôn","Thôn","Tổ")</f>
        <v>Thôn</v>
      </c>
      <c r="I1292" s="36">
        <v>67</v>
      </c>
      <c r="J1292" s="36">
        <v>264</v>
      </c>
      <c r="K1292" s="36">
        <v>62</v>
      </c>
      <c r="L1292" s="37">
        <f t="shared" si="0"/>
        <v>92.537313432835816</v>
      </c>
      <c r="M1292" s="36">
        <v>1</v>
      </c>
      <c r="N1292" s="38">
        <f t="shared" si="1"/>
        <v>1.4925373134328359</v>
      </c>
      <c r="O1292" s="36">
        <v>1</v>
      </c>
      <c r="P1292" s="38">
        <f t="shared" si="2"/>
        <v>100</v>
      </c>
      <c r="Q1292" s="39" t="s">
        <v>56</v>
      </c>
      <c r="R1292" s="39" t="str">
        <f t="shared" si="3"/>
        <v>X</v>
      </c>
      <c r="S1292" s="34"/>
      <c r="T1292" s="34" t="str">
        <f>IF('PL1(Full)'!$N1292&gt;=20,"x",IF(AND('PL1(Full)'!$N1292&gt;=15,'PL1(Full)'!$P1292&gt;60),"x",""))</f>
        <v/>
      </c>
      <c r="U1292" s="34" t="str">
        <f>IF(AND('PL1(Full)'!$H1292="Thôn",'PL1(Full)'!$I1292&lt;75),"x",IF(AND('PL1(Full)'!$H1292="Tổ",'PL1(Full)'!$I1292&lt;100),"x","-"))</f>
        <v>x</v>
      </c>
      <c r="V1292" s="34" t="str">
        <f>IF(AND('PL1(Full)'!$H1292="Thôn",'PL1(Full)'!$I1292&lt;140),"x",IF(AND('PL1(Full)'!$H1292="Tổ",'PL1(Full)'!$I1292&lt;210),"x","-"))</f>
        <v>x</v>
      </c>
      <c r="W1292" s="40" t="str">
        <f t="shared" si="225"/>
        <v>Loại 3</v>
      </c>
      <c r="X1292" s="34"/>
    </row>
    <row r="1293" spans="1:24" ht="15.75" hidden="1" customHeight="1">
      <c r="A1293" s="30">
        <f>_xlfn.AGGREGATE(4,7,A$6:A1292)+1</f>
        <v>945</v>
      </c>
      <c r="B1293" s="31" t="str">
        <f t="shared" si="219"/>
        <v>TP. Bắc Kạn</v>
      </c>
      <c r="C1293" s="66" t="str">
        <f t="shared" si="227"/>
        <v>X. Nông Thượng</v>
      </c>
      <c r="D1293" s="34"/>
      <c r="E1293" s="34" t="s">
        <v>36</v>
      </c>
      <c r="F1293" s="54" t="s">
        <v>1297</v>
      </c>
      <c r="G1293" s="34"/>
      <c r="H1293" s="34" t="str">
        <f>IF(LEFT('PL1(Full)'!$F1293,4)="Thôn","Thôn","Tổ")</f>
        <v>Thôn</v>
      </c>
      <c r="I1293" s="36">
        <v>110</v>
      </c>
      <c r="J1293" s="36">
        <v>425</v>
      </c>
      <c r="K1293" s="36">
        <v>61</v>
      </c>
      <c r="L1293" s="37">
        <f t="shared" si="0"/>
        <v>55.454545454545453</v>
      </c>
      <c r="M1293" s="36">
        <v>2</v>
      </c>
      <c r="N1293" s="38">
        <f t="shared" si="1"/>
        <v>1.8181818181818181</v>
      </c>
      <c r="O1293" s="36">
        <v>2</v>
      </c>
      <c r="P1293" s="38">
        <f t="shared" si="2"/>
        <v>100</v>
      </c>
      <c r="Q1293" s="39" t="s">
        <v>56</v>
      </c>
      <c r="R1293" s="39" t="str">
        <f t="shared" si="3"/>
        <v>X</v>
      </c>
      <c r="S1293" s="34"/>
      <c r="T1293" s="34"/>
      <c r="U1293" s="34" t="str">
        <f>IF(AND('PL1(Full)'!$H1293="Thôn",'PL1(Full)'!$I1293&lt;75),"x",IF(AND('PL1(Full)'!$H1293="Tổ",'PL1(Full)'!$I1293&lt;100),"x","-"))</f>
        <v>-</v>
      </c>
      <c r="V1293" s="34" t="str">
        <f>IF(AND('PL1(Full)'!$H1293="Thôn",'PL1(Full)'!$I1293&lt;140),"x",IF(AND('PL1(Full)'!$H1293="Tổ",'PL1(Full)'!$I1293&lt;210),"x","-"))</f>
        <v>x</v>
      </c>
      <c r="W1293" s="40" t="str">
        <f t="shared" si="225"/>
        <v>Loại 2</v>
      </c>
      <c r="X1293" s="34"/>
    </row>
    <row r="1294" spans="1:24" ht="15.75" customHeight="1">
      <c r="A1294" s="30">
        <f>_xlfn.AGGREGATE(4,7,A$6:A1293)+1</f>
        <v>945</v>
      </c>
      <c r="B1294" s="31" t="str">
        <f t="shared" si="219"/>
        <v>TP. Bắc Kạn</v>
      </c>
      <c r="C1294" s="66" t="str">
        <f t="shared" si="227"/>
        <v>X. Nông Thượng</v>
      </c>
      <c r="D1294" s="34"/>
      <c r="E1294" s="34" t="s">
        <v>36</v>
      </c>
      <c r="F1294" s="54" t="s">
        <v>1298</v>
      </c>
      <c r="G1294" s="34"/>
      <c r="H1294" s="34" t="str">
        <f>IF(LEFT('PL1(Full)'!$F1294,4)="Thôn","Thôn","Tổ")</f>
        <v>Thôn</v>
      </c>
      <c r="I1294" s="36">
        <v>33</v>
      </c>
      <c r="J1294" s="36">
        <v>143</v>
      </c>
      <c r="K1294" s="36">
        <v>30</v>
      </c>
      <c r="L1294" s="37">
        <f t="shared" si="0"/>
        <v>90.909090909090907</v>
      </c>
      <c r="M1294" s="36">
        <v>1</v>
      </c>
      <c r="N1294" s="38">
        <f t="shared" si="1"/>
        <v>3.0303030303030303</v>
      </c>
      <c r="O1294" s="36">
        <v>1</v>
      </c>
      <c r="P1294" s="38">
        <f t="shared" si="2"/>
        <v>100</v>
      </c>
      <c r="Q1294" s="39" t="s">
        <v>56</v>
      </c>
      <c r="R1294" s="39" t="str">
        <f t="shared" si="3"/>
        <v>X</v>
      </c>
      <c r="S1294" s="34"/>
      <c r="T1294" s="34" t="str">
        <f>IF('PL1(Full)'!$N1294&gt;=20,"x",IF(AND('PL1(Full)'!$N1294&gt;=15,'PL1(Full)'!$P1294&gt;60),"x",""))</f>
        <v/>
      </c>
      <c r="U1294" s="34" t="str">
        <f>IF(AND('PL1(Full)'!$H1294="Thôn",'PL1(Full)'!$I1294&lt;75),"x",IF(AND('PL1(Full)'!$H1294="Tổ",'PL1(Full)'!$I1294&lt;100),"x","-"))</f>
        <v>x</v>
      </c>
      <c r="V1294" s="34" t="str">
        <f>IF(AND('PL1(Full)'!$H1294="Thôn",'PL1(Full)'!$I1294&lt;140),"x",IF(AND('PL1(Full)'!$H1294="Tổ",'PL1(Full)'!$I1294&lt;210),"x","-"))</f>
        <v>x</v>
      </c>
      <c r="W1294" s="40" t="str">
        <f t="shared" si="225"/>
        <v>Loại 3</v>
      </c>
      <c r="X1294" s="34"/>
    </row>
    <row r="1295" spans="1:24" ht="15.75" customHeight="1">
      <c r="A1295" s="30">
        <f>_xlfn.AGGREGATE(4,7,A$6:A1294)+1</f>
        <v>946</v>
      </c>
      <c r="B1295" s="31" t="str">
        <f t="shared" si="219"/>
        <v>TP. Bắc Kạn</v>
      </c>
      <c r="C1295" s="66" t="str">
        <f t="shared" si="227"/>
        <v>X. Nông Thượng</v>
      </c>
      <c r="D1295" s="34"/>
      <c r="E1295" s="34" t="s">
        <v>36</v>
      </c>
      <c r="F1295" s="54" t="s">
        <v>1299</v>
      </c>
      <c r="G1295" s="34"/>
      <c r="H1295" s="34" t="str">
        <f>IF(LEFT('PL1(Full)'!$F1295,4)="Thôn","Thôn","Tổ")</f>
        <v>Thôn</v>
      </c>
      <c r="I1295" s="36">
        <v>67</v>
      </c>
      <c r="J1295" s="36">
        <v>269</v>
      </c>
      <c r="K1295" s="36">
        <v>60</v>
      </c>
      <c r="L1295" s="37">
        <f t="shared" si="0"/>
        <v>89.552238805970148</v>
      </c>
      <c r="M1295" s="36">
        <v>7</v>
      </c>
      <c r="N1295" s="38">
        <f t="shared" si="1"/>
        <v>10.447761194029852</v>
      </c>
      <c r="O1295" s="36">
        <v>7</v>
      </c>
      <c r="P1295" s="38">
        <f t="shared" si="2"/>
        <v>100</v>
      </c>
      <c r="Q1295" s="39" t="s">
        <v>56</v>
      </c>
      <c r="R1295" s="39" t="str">
        <f t="shared" si="3"/>
        <v>X</v>
      </c>
      <c r="S1295" s="34"/>
      <c r="T1295" s="34" t="str">
        <f>IF('PL1(Full)'!$N1295&gt;=20,"x",IF(AND('PL1(Full)'!$N1295&gt;=15,'PL1(Full)'!$P1295&gt;60),"x",""))</f>
        <v/>
      </c>
      <c r="U1295" s="34" t="str">
        <f>IF(AND('PL1(Full)'!$H1295="Thôn",'PL1(Full)'!$I1295&lt;75),"x",IF(AND('PL1(Full)'!$H1295="Tổ",'PL1(Full)'!$I1295&lt;100),"x","-"))</f>
        <v>x</v>
      </c>
      <c r="V1295" s="34" t="str">
        <f>IF(AND('PL1(Full)'!$H1295="Thôn",'PL1(Full)'!$I1295&lt;140),"x",IF(AND('PL1(Full)'!$H1295="Tổ",'PL1(Full)'!$I1295&lt;210),"x","-"))</f>
        <v>x</v>
      </c>
      <c r="W1295" s="40" t="str">
        <f t="shared" si="225"/>
        <v>Loại 3</v>
      </c>
      <c r="X1295" s="34"/>
    </row>
    <row r="1296" spans="1:24" ht="15.75" hidden="1" customHeight="1">
      <c r="A1296" s="30">
        <f>_xlfn.AGGREGATE(4,7,A$6:A1295)+1</f>
        <v>947</v>
      </c>
      <c r="B1296" s="31" t="str">
        <f t="shared" si="219"/>
        <v>TP. Bắc Kạn</v>
      </c>
      <c r="C1296" s="66" t="str">
        <f t="shared" si="227"/>
        <v>X. Nông Thượng</v>
      </c>
      <c r="D1296" s="34"/>
      <c r="E1296" s="34" t="s">
        <v>36</v>
      </c>
      <c r="F1296" s="54" t="s">
        <v>1300</v>
      </c>
      <c r="G1296" s="34"/>
      <c r="H1296" s="34" t="str">
        <f>IF(LEFT('PL1(Full)'!$F1296,4)="Thôn","Thôn","Tổ")</f>
        <v>Thôn</v>
      </c>
      <c r="I1296" s="36">
        <v>96</v>
      </c>
      <c r="J1296" s="36">
        <v>299</v>
      </c>
      <c r="K1296" s="36">
        <v>25</v>
      </c>
      <c r="L1296" s="37">
        <f t="shared" si="0"/>
        <v>26.041666666666668</v>
      </c>
      <c r="M1296" s="36">
        <v>4</v>
      </c>
      <c r="N1296" s="38">
        <f t="shared" si="1"/>
        <v>4.166666666666667</v>
      </c>
      <c r="O1296" s="36">
        <v>4</v>
      </c>
      <c r="P1296" s="38">
        <f t="shared" si="2"/>
        <v>100</v>
      </c>
      <c r="Q1296" s="39" t="s">
        <v>56</v>
      </c>
      <c r="R1296" s="39" t="str">
        <f t="shared" si="3"/>
        <v>X</v>
      </c>
      <c r="S1296" s="34"/>
      <c r="T1296" s="34" t="str">
        <f>IF('PL1(Full)'!$N1296&gt;=20,"x",IF(AND('PL1(Full)'!$N1296&gt;=15,'PL1(Full)'!$P1296&gt;60),"x",""))</f>
        <v/>
      </c>
      <c r="U1296" s="34" t="str">
        <f>IF(AND('PL1(Full)'!$H1296="Thôn",'PL1(Full)'!$I1296&lt;75),"x",IF(AND('PL1(Full)'!$H1296="Tổ",'PL1(Full)'!$I1296&lt;100),"x","-"))</f>
        <v>-</v>
      </c>
      <c r="V1296" s="34" t="str">
        <f>IF(AND('PL1(Full)'!$H1296="Thôn",'PL1(Full)'!$I1296&lt;140),"x",IF(AND('PL1(Full)'!$H1296="Tổ",'PL1(Full)'!$I1296&lt;210),"x","-"))</f>
        <v>x</v>
      </c>
      <c r="W1296" s="40" t="str">
        <f t="shared" si="225"/>
        <v>Loại 3</v>
      </c>
      <c r="X1296" s="34"/>
    </row>
    <row r="1297" spans="1:24" ht="15.75" hidden="1" customHeight="1">
      <c r="A1297" s="30">
        <f>_xlfn.AGGREGATE(4,7,A$6:A1296)+1</f>
        <v>947</v>
      </c>
      <c r="B1297" s="31" t="str">
        <f t="shared" si="219"/>
        <v>TP. Bắc Kạn</v>
      </c>
      <c r="C1297" s="66" t="str">
        <f t="shared" si="227"/>
        <v>X. Nông Thượng</v>
      </c>
      <c r="D1297" s="34"/>
      <c r="E1297" s="34" t="s">
        <v>36</v>
      </c>
      <c r="F1297" s="54" t="s">
        <v>1301</v>
      </c>
      <c r="G1297" s="34"/>
      <c r="H1297" s="34" t="str">
        <f>IF(LEFT('PL1(Full)'!$F1297,4)="Thôn","Thôn","Tổ")</f>
        <v>Thôn</v>
      </c>
      <c r="I1297" s="36">
        <v>88</v>
      </c>
      <c r="J1297" s="36">
        <v>416</v>
      </c>
      <c r="K1297" s="36">
        <v>83</v>
      </c>
      <c r="L1297" s="37">
        <f t="shared" si="0"/>
        <v>94.318181818181813</v>
      </c>
      <c r="M1297" s="36">
        <v>8</v>
      </c>
      <c r="N1297" s="38">
        <f t="shared" si="1"/>
        <v>9.0909090909090917</v>
      </c>
      <c r="O1297" s="36">
        <v>8</v>
      </c>
      <c r="P1297" s="38">
        <f t="shared" si="2"/>
        <v>100</v>
      </c>
      <c r="Q1297" s="39" t="s">
        <v>56</v>
      </c>
      <c r="R1297" s="39" t="str">
        <f t="shared" si="3"/>
        <v>X</v>
      </c>
      <c r="S1297" s="34"/>
      <c r="T1297" s="34" t="str">
        <f>IF('PL1(Full)'!$N1297&gt;=20,"x",IF(AND('PL1(Full)'!$N1297&gt;=15,'PL1(Full)'!$P1297&gt;60),"x",""))</f>
        <v/>
      </c>
      <c r="U1297" s="34" t="str">
        <f>IF(AND('PL1(Full)'!$H1297="Thôn",'PL1(Full)'!$I1297&lt;75),"x",IF(AND('PL1(Full)'!$H1297="Tổ",'PL1(Full)'!$I1297&lt;100),"x","-"))</f>
        <v>-</v>
      </c>
      <c r="V1297" s="34" t="str">
        <f>IF(AND('PL1(Full)'!$H1297="Thôn",'PL1(Full)'!$I1297&lt;140),"x",IF(AND('PL1(Full)'!$H1297="Tổ",'PL1(Full)'!$I1297&lt;210),"x","-"))</f>
        <v>x</v>
      </c>
      <c r="W1297" s="40" t="str">
        <f t="shared" si="225"/>
        <v>Loại 3</v>
      </c>
      <c r="X1297" s="34"/>
    </row>
    <row r="1298" spans="1:24" ht="15.75" customHeight="1">
      <c r="A1298" s="41">
        <f>_xlfn.AGGREGATE(4,7,A$6:A1297)+1</f>
        <v>947</v>
      </c>
      <c r="B1298" s="42" t="str">
        <f t="shared" si="219"/>
        <v>TP. Bắc Kạn</v>
      </c>
      <c r="C1298" s="67" t="str">
        <f t="shared" si="227"/>
        <v>X. Nông Thượng</v>
      </c>
      <c r="D1298" s="50"/>
      <c r="E1298" s="50" t="s">
        <v>36</v>
      </c>
      <c r="F1298" s="55" t="s">
        <v>1302</v>
      </c>
      <c r="G1298" s="50"/>
      <c r="H1298" s="50" t="str">
        <f>IF(LEFT('PL1(Full)'!$F1298,4)="Thôn","Thôn","Tổ")</f>
        <v>Thôn</v>
      </c>
      <c r="I1298" s="46">
        <v>30</v>
      </c>
      <c r="J1298" s="46">
        <v>124</v>
      </c>
      <c r="K1298" s="46">
        <v>26</v>
      </c>
      <c r="L1298" s="47">
        <f t="shared" si="0"/>
        <v>86.666666666666671</v>
      </c>
      <c r="M1298" s="46">
        <v>4</v>
      </c>
      <c r="N1298" s="48">
        <f t="shared" si="1"/>
        <v>13.333333333333334</v>
      </c>
      <c r="O1298" s="46">
        <v>4</v>
      </c>
      <c r="P1298" s="48">
        <f t="shared" si="2"/>
        <v>100</v>
      </c>
      <c r="Q1298" s="49" t="s">
        <v>56</v>
      </c>
      <c r="R1298" s="49" t="str">
        <f t="shared" si="3"/>
        <v>X</v>
      </c>
      <c r="S1298" s="50"/>
      <c r="T1298" s="50" t="str">
        <f>IF('PL1(Full)'!$N1298&gt;=20,"x",IF(AND('PL1(Full)'!$N1298&gt;=15,'PL1(Full)'!$P1298&gt;60),"x",""))</f>
        <v/>
      </c>
      <c r="U1298" s="50" t="str">
        <f>IF(AND('PL1(Full)'!$H1298="Thôn",'PL1(Full)'!$I1298&lt;75),"x",IF(AND('PL1(Full)'!$H1298="Tổ",'PL1(Full)'!$I1298&lt;100),"x","-"))</f>
        <v>x</v>
      </c>
      <c r="V1298" s="34" t="str">
        <f>IF(AND('PL1(Full)'!$H1298="Thôn",'PL1(Full)'!$I1298&lt;140),"x",IF(AND('PL1(Full)'!$H1298="Tổ",'PL1(Full)'!$I1298&lt;210),"x","-"))</f>
        <v>x</v>
      </c>
      <c r="W1298" s="51" t="str">
        <f t="shared" si="225"/>
        <v>Loại 3</v>
      </c>
      <c r="X1298" s="50"/>
    </row>
    <row r="1299" spans="1:24" s="233" customFormat="1" ht="31.5" hidden="1" customHeight="1">
      <c r="A1299" s="229"/>
      <c r="B1299" s="229" t="s">
        <v>1303</v>
      </c>
      <c r="C1299" s="230">
        <f>COUNTA($C$7:$C$1298)</f>
        <v>1292</v>
      </c>
      <c r="D1299" s="157">
        <f>COUNTA('PL1(Full)'!$D$7:$D$1298)</f>
        <v>108</v>
      </c>
      <c r="E1299" s="157">
        <f>COUNTA('PL1(Full)'!$E$7:$E$1298)</f>
        <v>1292</v>
      </c>
      <c r="F1299" s="229">
        <f>COUNTA($F$7:$F$1298)</f>
        <v>1292</v>
      </c>
      <c r="G1299" s="156">
        <f>COUNTA($G$7:$G$1298)</f>
        <v>126</v>
      </c>
      <c r="H1299" s="156">
        <f>COUNTA('PL1(Full)'!$H$7:$H$1298)</f>
        <v>1292</v>
      </c>
      <c r="I1299" s="231">
        <f>SUM($I$7:$I$1298)</f>
        <v>82637</v>
      </c>
      <c r="J1299" s="231">
        <f>SUM($J$7:$J$1298)</f>
        <v>347772</v>
      </c>
      <c r="K1299" s="231"/>
      <c r="L1299" s="232"/>
      <c r="M1299" s="158">
        <f>SUM($M$7:$M$1298)</f>
        <v>18388</v>
      </c>
      <c r="N1299" s="159">
        <f>IF(M1299=0,"-",M1299*100/I1299)</f>
        <v>22.251533816571271</v>
      </c>
      <c r="O1299" s="158">
        <f>SUM($O$7:$O$1298)</f>
        <v>17759</v>
      </c>
      <c r="P1299" s="159">
        <f>IF(M1299=0,"-",O1299*100/M1299)</f>
        <v>96.579290841853378</v>
      </c>
      <c r="Q1299" s="230"/>
      <c r="R1299" s="157">
        <f>COUNTA($R$7:$R$1298)</f>
        <v>1292</v>
      </c>
      <c r="S1299" s="156">
        <f>COUNTIF($S$7:$S$1298,"x")</f>
        <v>648</v>
      </c>
      <c r="T1299" s="156">
        <f>COUNTIF($T$7:$T$1298,"x")</f>
        <v>698</v>
      </c>
      <c r="U1299" s="229">
        <f>COUNTIF($U$7:$U$1298,"x")</f>
        <v>947</v>
      </c>
      <c r="V1299" s="156">
        <f>COUNTIF($V$7:$V$1298,"x")</f>
        <v>1270</v>
      </c>
      <c r="W1299" s="156"/>
      <c r="X1299" s="229"/>
    </row>
    <row r="1300" spans="1:24" ht="15.75" customHeight="1">
      <c r="A1300" s="2"/>
      <c r="B1300" s="1"/>
      <c r="C1300" s="160"/>
      <c r="D1300" s="2"/>
      <c r="E1300" s="2"/>
      <c r="F1300" s="1"/>
      <c r="G1300" s="2"/>
      <c r="H1300" s="1"/>
      <c r="I1300" s="3"/>
      <c r="J1300" s="3"/>
      <c r="K1300" s="3"/>
      <c r="L1300" s="1"/>
      <c r="M1300" s="3"/>
      <c r="N1300" s="1"/>
      <c r="O1300" s="3"/>
      <c r="P1300" s="9"/>
      <c r="Q1300" s="5"/>
      <c r="R1300" s="5"/>
      <c r="S1300" s="2"/>
      <c r="T1300" s="2"/>
      <c r="U1300" s="2"/>
      <c r="V1300" s="2"/>
      <c r="W1300" s="6"/>
      <c r="X1300" s="2"/>
    </row>
    <row r="1301" spans="1:24" s="236" customFormat="1" ht="39">
      <c r="A1301" s="234"/>
      <c r="B1301" s="235" t="s">
        <v>1415</v>
      </c>
      <c r="C1301" s="234"/>
      <c r="D1301" s="161"/>
      <c r="E1301" s="161"/>
      <c r="F1301" s="234">
        <f t="shared" ref="F1301:G1301" si="228">SUBTOTAL(3,F7:F1298)</f>
        <v>947</v>
      </c>
      <c r="G1301" s="161">
        <f t="shared" si="228"/>
        <v>44</v>
      </c>
      <c r="H1301" s="161"/>
      <c r="I1301" s="234"/>
      <c r="J1301" s="234"/>
      <c r="K1301" s="234"/>
      <c r="L1301" s="234"/>
      <c r="M1301" s="161"/>
      <c r="N1301" s="161"/>
      <c r="O1301" s="161"/>
      <c r="P1301" s="161"/>
      <c r="Q1301" s="234">
        <f t="shared" ref="Q1301:R1301" si="229">SUBTOTAL(3,Q7:Q1298)</f>
        <v>947</v>
      </c>
      <c r="R1301" s="161">
        <f t="shared" si="229"/>
        <v>947</v>
      </c>
      <c r="S1301" s="161">
        <f t="shared" ref="S1301:V1301" si="230">COUNTIF(S7:S1298,"x")</f>
        <v>648</v>
      </c>
      <c r="T1301" s="161">
        <f t="shared" si="230"/>
        <v>698</v>
      </c>
      <c r="U1301" s="234">
        <f t="shared" si="230"/>
        <v>947</v>
      </c>
      <c r="V1301" s="161">
        <f t="shared" si="230"/>
        <v>1270</v>
      </c>
      <c r="W1301" s="161">
        <f>COUNTA(W7:W1298)</f>
        <v>1292</v>
      </c>
      <c r="X1301" s="234"/>
    </row>
  </sheetData>
  <sheetProtection algorithmName="SHA-512" hashValue="/eMr0/dkbxSdzS2RrWl/s9ztV2qNOaMY/dqp//erL9VtruaYUE045lIUjKMCgxEOcC08p8eTx0lt/Rf5JiygIQ==" saltValue="y3wfTcrEOINEoAophSWVkA==" spinCount="100000" sheet="1" objects="1" scenarios="1"/>
  <autoFilter ref="A6:X1299" xr:uid="{00000000-0009-0000-0000-000000000000}">
    <filterColumn colId="20">
      <filters>
        <filter val="947"/>
        <filter val="x"/>
      </filters>
    </filterColumn>
  </autoFilter>
  <mergeCells count="19">
    <mergeCell ref="A3:X3"/>
    <mergeCell ref="A4:A5"/>
    <mergeCell ref="B4:B5"/>
    <mergeCell ref="C4:C5"/>
    <mergeCell ref="D4:D5"/>
    <mergeCell ref="E4:E5"/>
    <mergeCell ref="F4:F5"/>
    <mergeCell ref="W4:W5"/>
    <mergeCell ref="X4:X5"/>
    <mergeCell ref="G4:G5"/>
    <mergeCell ref="H4:H5"/>
    <mergeCell ref="I4:L4"/>
    <mergeCell ref="M4:P4"/>
    <mergeCell ref="Q4:Q5"/>
    <mergeCell ref="R4:R5"/>
    <mergeCell ref="S4:S5"/>
    <mergeCell ref="T4:T5"/>
    <mergeCell ref="U4:U5"/>
    <mergeCell ref="V4:V5"/>
  </mergeCells>
  <conditionalFormatting sqref="L7:L1298">
    <cfRule type="expression" dxfId="4" priority="1">
      <formula>$L7&lt;&gt;100</formula>
    </cfRule>
  </conditionalFormatting>
  <conditionalFormatting sqref="P7:P1298">
    <cfRule type="expression" dxfId="3" priority="2">
      <formula>$P7&lt;&gt;100</formula>
    </cfRule>
  </conditionalFormatting>
  <conditionalFormatting sqref="N7:N1298">
    <cfRule type="expression" dxfId="2" priority="3">
      <formula>$N$7&lt;&gt;100</formula>
    </cfRule>
  </conditionalFormatting>
  <conditionalFormatting sqref="J7:J1298">
    <cfRule type="containsBlanks" dxfId="1" priority="4">
      <formula>LEN(TRIM(J7))=0</formula>
    </cfRule>
  </conditionalFormatting>
  <conditionalFormatting sqref="Q7:Q1298">
    <cfRule type="containsBlanks" dxfId="0" priority="5">
      <formula>LEN(TRIM(Q7))=0</formula>
    </cfRule>
  </conditionalFormatting>
  <printOptions horizontalCentered="1"/>
  <pageMargins left="0.36" right="0.28000000000000003" top="0.39370078740157483" bottom="0.39370078740157483" header="0" footer="0"/>
  <pageSetup paperSize="9" scale="98" fitToHeight="0" orientation="landscape" r:id="rId1"/>
  <headerFooter>
    <oddHeader>&amp;C&amp;P /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J118"/>
  <sheetViews>
    <sheetView view="pageBreakPreview" zoomScaleNormal="100" zoomScaleSheetLayoutView="100" workbookViewId="0">
      <pane ySplit="3" topLeftCell="A94" activePane="bottomLeft" state="frozen"/>
      <selection pane="bottomLeft" activeCell="L55" sqref="L55"/>
    </sheetView>
  </sheetViews>
  <sheetFormatPr defaultColWidth="11.25" defaultRowHeight="15" customHeight="1"/>
  <cols>
    <col min="1" max="1" width="13" customWidth="1"/>
    <col min="2" max="2" width="14.125" customWidth="1"/>
    <col min="3" max="3" width="13" customWidth="1"/>
    <col min="4" max="4" width="10.25" customWidth="1"/>
    <col min="5" max="6" width="14" customWidth="1"/>
    <col min="7" max="7" width="14.5" customWidth="1"/>
    <col min="8" max="8" width="13" customWidth="1"/>
    <col min="9" max="9" width="15.5" customWidth="1"/>
  </cols>
  <sheetData>
    <row r="1" spans="1:10" ht="35.25" customHeight="1">
      <c r="A1" s="259" t="s">
        <v>1412</v>
      </c>
      <c r="B1" s="243"/>
      <c r="C1" s="162"/>
      <c r="D1" s="162"/>
      <c r="E1" s="162"/>
      <c r="F1" s="162"/>
      <c r="G1" s="162"/>
      <c r="H1" s="162"/>
      <c r="I1" s="163"/>
      <c r="J1" s="163"/>
    </row>
    <row r="2" spans="1:10" ht="40.5" customHeight="1">
      <c r="A2" s="258" t="s">
        <v>1413</v>
      </c>
      <c r="B2" s="243"/>
      <c r="C2" s="243"/>
      <c r="D2" s="243"/>
      <c r="E2" s="243"/>
      <c r="F2" s="243"/>
      <c r="G2" s="243"/>
      <c r="H2" s="243"/>
      <c r="I2" s="163"/>
      <c r="J2" s="163"/>
    </row>
    <row r="3" spans="1:10" s="227" customFormat="1" ht="47.25">
      <c r="A3" s="225" t="s">
        <v>1311</v>
      </c>
      <c r="B3" s="225" t="s">
        <v>1312</v>
      </c>
      <c r="C3" s="225" t="s">
        <v>1313</v>
      </c>
      <c r="D3" s="225" t="s">
        <v>1314</v>
      </c>
      <c r="E3" s="225" t="s">
        <v>1315</v>
      </c>
      <c r="F3" s="225" t="s">
        <v>1316</v>
      </c>
      <c r="G3" s="225" t="s">
        <v>1317</v>
      </c>
      <c r="H3" s="225" t="s">
        <v>1318</v>
      </c>
      <c r="I3" s="226" t="s">
        <v>1319</v>
      </c>
      <c r="J3" s="226" t="s">
        <v>1320</v>
      </c>
    </row>
    <row r="4" spans="1:10" ht="15.75">
      <c r="A4" s="257" t="s">
        <v>37</v>
      </c>
      <c r="B4" s="164" t="str">
        <f ca="1">IFERROR(__xludf.DUMMYFUNCTION("UNIQUe('PL1(Full)'!C7:C1298,FALSE,FALSE)"),"TT. Chợ Rã")</f>
        <v>TT. Chợ Rã</v>
      </c>
      <c r="C4" s="251">
        <f>SUMIFS('PL1(Full)'!$I$7:$I$1298,'PL1(Full)'!$B$7:$B$1298,A4)</f>
        <v>12292</v>
      </c>
      <c r="D4" s="165">
        <f ca="1">SUMIFS('PL1(Full)'!$I$7:$I$1298,'PL1(Full)'!$C$7:$C$1298,B4)</f>
        <v>1049</v>
      </c>
      <c r="E4" s="251">
        <f>COUNTIFS('PL1(Full)'!$B$7:$B$1298,A4)</f>
        <v>179</v>
      </c>
      <c r="F4" s="165">
        <f ca="1">COUNTIFS('PL1(Full)'!$C$7:$C$1298,B4)</f>
        <v>9</v>
      </c>
      <c r="G4" s="253" t="s">
        <v>1321</v>
      </c>
      <c r="H4" s="251">
        <v>120</v>
      </c>
      <c r="I4" s="166" t="s">
        <v>1322</v>
      </c>
      <c r="J4" s="166">
        <f ca="1">COUNTIFS($F$4:$F$111,"&lt;5")</f>
        <v>0</v>
      </c>
    </row>
    <row r="5" spans="1:10" ht="15.75">
      <c r="A5" s="252"/>
      <c r="B5" s="164" t="str">
        <f ca="1">IFERROR(__xludf.DUMMYFUNCTION("""COMPUTED_VALUE"""),"X. Bành Trạch")</f>
        <v>X. Bành Trạch</v>
      </c>
      <c r="C5" s="252"/>
      <c r="D5" s="165">
        <f ca="1">SUMIFS('PL1(Full)'!$I$7:$I$1298,'PL1(Full)'!$C$7:$C$1298,B5)</f>
        <v>736</v>
      </c>
      <c r="E5" s="252"/>
      <c r="F5" s="165">
        <f ca="1">COUNTIFS('PL1(Full)'!$C$7:$C$1298,B5)</f>
        <v>13</v>
      </c>
      <c r="G5" s="254"/>
      <c r="H5" s="252"/>
      <c r="I5" s="167">
        <v>45570</v>
      </c>
      <c r="J5" s="166">
        <f ca="1">COUNTIFS($F$4:$F$111,"&gt;=5")-COUNTIFS($F$4:$F$111,"&gt;10")</f>
        <v>52</v>
      </c>
    </row>
    <row r="6" spans="1:10" ht="15.75">
      <c r="A6" s="252"/>
      <c r="B6" s="164" t="str">
        <f ca="1">IFERROR(__xludf.DUMMYFUNCTION("""COMPUTED_VALUE"""),"X. Cao Thượng")</f>
        <v>X. Cao Thượng</v>
      </c>
      <c r="C6" s="252"/>
      <c r="D6" s="165">
        <f ca="1">SUMIFS('PL1(Full)'!$I$7:$I$1298,'PL1(Full)'!$C$7:$C$1298,B6)</f>
        <v>867</v>
      </c>
      <c r="E6" s="252"/>
      <c r="F6" s="165">
        <f ca="1">COUNTIFS('PL1(Full)'!$C$7:$C$1298,B6)</f>
        <v>9</v>
      </c>
      <c r="G6" s="254"/>
      <c r="H6" s="252"/>
      <c r="I6" s="166" t="s">
        <v>1323</v>
      </c>
      <c r="J6" s="166">
        <f ca="1">COUNTIFS($F$4:$F$111,"&gt;10")-COUNTIFS($F$4:$F$111,"&gt;15")</f>
        <v>36</v>
      </c>
    </row>
    <row r="7" spans="1:10" ht="15.75">
      <c r="A7" s="252"/>
      <c r="B7" s="164" t="str">
        <f ca="1">IFERROR(__xludf.DUMMYFUNCTION("""COMPUTED_VALUE"""),"X. Chu Hương")</f>
        <v>X. Chu Hương</v>
      </c>
      <c r="C7" s="252"/>
      <c r="D7" s="165">
        <f ca="1">SUMIFS('PL1(Full)'!$I$7:$I$1298,'PL1(Full)'!$C$7:$C$1298,B7)</f>
        <v>866</v>
      </c>
      <c r="E7" s="252"/>
      <c r="F7" s="165">
        <f ca="1">COUNTIFS('PL1(Full)'!$C$7:$C$1298,B7)</f>
        <v>14</v>
      </c>
      <c r="G7" s="254"/>
      <c r="H7" s="252"/>
      <c r="I7" s="166" t="s">
        <v>1324</v>
      </c>
      <c r="J7" s="166">
        <f ca="1">COUNTIFS($F$4:$F$111,"&gt;15")-COUNTIFS($F$4:$F$111,"&gt;20")</f>
        <v>13</v>
      </c>
    </row>
    <row r="8" spans="1:10" ht="15.75">
      <c r="A8" s="252"/>
      <c r="B8" s="164" t="str">
        <f ca="1">IFERROR(__xludf.DUMMYFUNCTION("""COMPUTED_VALUE"""),"X. Địa Linh")</f>
        <v>X. Địa Linh</v>
      </c>
      <c r="C8" s="252"/>
      <c r="D8" s="165">
        <f ca="1">SUMIFS('PL1(Full)'!$I$7:$I$1298,'PL1(Full)'!$C$7:$C$1298,B8)</f>
        <v>863</v>
      </c>
      <c r="E8" s="252"/>
      <c r="F8" s="165">
        <f ca="1">COUNTIFS('PL1(Full)'!$C$7:$C$1298,B8)</f>
        <v>8</v>
      </c>
      <c r="G8" s="254"/>
      <c r="H8" s="252"/>
      <c r="I8" s="166" t="s">
        <v>1325</v>
      </c>
      <c r="J8" s="166">
        <f ca="1">COUNTIFS($F$4:$F$111,"&gt;=21")</f>
        <v>7</v>
      </c>
    </row>
    <row r="9" spans="1:10" ht="15.75">
      <c r="A9" s="252"/>
      <c r="B9" s="164" t="str">
        <f ca="1">IFERROR(__xludf.DUMMYFUNCTION("""COMPUTED_VALUE"""),"X. Đồng Phúc")</f>
        <v>X. Đồng Phúc</v>
      </c>
      <c r="C9" s="252"/>
      <c r="D9" s="165">
        <f ca="1">SUMIFS('PL1(Full)'!$I$7:$I$1298,'PL1(Full)'!$C$7:$C$1298,B9)</f>
        <v>713</v>
      </c>
      <c r="E9" s="252"/>
      <c r="F9" s="165">
        <f ca="1">COUNTIFS('PL1(Full)'!$C$7:$C$1298,B9)</f>
        <v>13</v>
      </c>
      <c r="G9" s="254"/>
      <c r="H9" s="252"/>
      <c r="I9" s="168" t="s">
        <v>1309</v>
      </c>
      <c r="J9" s="168">
        <f ca="1">SUM(J4:J8)</f>
        <v>108</v>
      </c>
    </row>
    <row r="10" spans="1:10" ht="15.75">
      <c r="A10" s="252"/>
      <c r="B10" s="164" t="str">
        <f ca="1">IFERROR(__xludf.DUMMYFUNCTION("""COMPUTED_VALUE"""),"X. Hà Hiệu")</f>
        <v>X. Hà Hiệu</v>
      </c>
      <c r="C10" s="252"/>
      <c r="D10" s="165">
        <f ca="1">SUMIFS('PL1(Full)'!$I$7:$I$1298,'PL1(Full)'!$C$7:$C$1298,B10)</f>
        <v>691</v>
      </c>
      <c r="E10" s="252"/>
      <c r="F10" s="165">
        <f ca="1">COUNTIFS('PL1(Full)'!$C$7:$C$1298,B10)</f>
        <v>12</v>
      </c>
      <c r="G10" s="254"/>
      <c r="H10" s="252"/>
      <c r="I10" s="166"/>
      <c r="J10" s="166"/>
    </row>
    <row r="11" spans="1:10" ht="15.75">
      <c r="A11" s="252"/>
      <c r="B11" s="164" t="str">
        <f ca="1">IFERROR(__xludf.DUMMYFUNCTION("""COMPUTED_VALUE"""),"X. Hoàng Trĩ")</f>
        <v>X. Hoàng Trĩ</v>
      </c>
      <c r="C11" s="252"/>
      <c r="D11" s="165">
        <f ca="1">SUMIFS('PL1(Full)'!$I$7:$I$1298,'PL1(Full)'!$C$7:$C$1298,B11)</f>
        <v>326</v>
      </c>
      <c r="E11" s="252"/>
      <c r="F11" s="165">
        <f ca="1">COUNTIFS('PL1(Full)'!$C$7:$C$1298,B11)</f>
        <v>6</v>
      </c>
      <c r="G11" s="254"/>
      <c r="H11" s="252"/>
      <c r="I11" s="166"/>
      <c r="J11" s="166"/>
    </row>
    <row r="12" spans="1:10" ht="15.75">
      <c r="A12" s="252"/>
      <c r="B12" s="164" t="str">
        <f ca="1">IFERROR(__xludf.DUMMYFUNCTION("""COMPUTED_VALUE"""),"X. Khang Ninh")</f>
        <v>X. Khang Ninh</v>
      </c>
      <c r="C12" s="252"/>
      <c r="D12" s="165">
        <f ca="1">SUMIFS('PL1(Full)'!$I$7:$I$1298,'PL1(Full)'!$C$7:$C$1298,B12)</f>
        <v>1008</v>
      </c>
      <c r="E12" s="252"/>
      <c r="F12" s="165">
        <f ca="1">COUNTIFS('PL1(Full)'!$C$7:$C$1298,B12)</f>
        <v>15</v>
      </c>
      <c r="G12" s="254"/>
      <c r="H12" s="252"/>
      <c r="I12" s="166"/>
      <c r="J12" s="166"/>
    </row>
    <row r="13" spans="1:10" ht="15.75">
      <c r="A13" s="252"/>
      <c r="B13" s="164" t="str">
        <f ca="1">IFERROR(__xludf.DUMMYFUNCTION("""COMPUTED_VALUE"""),"X. Mỹ Phương")</f>
        <v>X. Mỹ Phương</v>
      </c>
      <c r="C13" s="252"/>
      <c r="D13" s="165">
        <f ca="1">SUMIFS('PL1(Full)'!$I$7:$I$1298,'PL1(Full)'!$C$7:$C$1298,B13)</f>
        <v>967</v>
      </c>
      <c r="E13" s="252"/>
      <c r="F13" s="165">
        <f ca="1">COUNTIFS('PL1(Full)'!$C$7:$C$1298,B13)</f>
        <v>15</v>
      </c>
      <c r="G13" s="254"/>
      <c r="H13" s="252"/>
      <c r="I13" s="166"/>
      <c r="J13" s="166"/>
    </row>
    <row r="14" spans="1:10" ht="15.75">
      <c r="A14" s="252"/>
      <c r="B14" s="164" t="str">
        <f ca="1">IFERROR(__xludf.DUMMYFUNCTION("""COMPUTED_VALUE"""),"X. Nam Mẫu")</f>
        <v>X. Nam Mẫu</v>
      </c>
      <c r="C14" s="252"/>
      <c r="D14" s="165">
        <f ca="1">SUMIFS('PL1(Full)'!$I$7:$I$1298,'PL1(Full)'!$C$7:$C$1298,B14)</f>
        <v>532</v>
      </c>
      <c r="E14" s="252"/>
      <c r="F14" s="165">
        <f ca="1">COUNTIFS('PL1(Full)'!$C$7:$C$1298,B14)</f>
        <v>9</v>
      </c>
      <c r="G14" s="254"/>
      <c r="H14" s="252"/>
      <c r="I14" s="166"/>
      <c r="J14" s="166"/>
    </row>
    <row r="15" spans="1:10" ht="15.75">
      <c r="A15" s="252"/>
      <c r="B15" s="164" t="str">
        <f ca="1">IFERROR(__xludf.DUMMYFUNCTION("""COMPUTED_VALUE"""),"X. Phúc Lộc")</f>
        <v>X. Phúc Lộc</v>
      </c>
      <c r="C15" s="252"/>
      <c r="D15" s="165">
        <f ca="1">SUMIFS('PL1(Full)'!$I$7:$I$1298,'PL1(Full)'!$C$7:$C$1298,B15)</f>
        <v>779</v>
      </c>
      <c r="E15" s="252"/>
      <c r="F15" s="165">
        <f ca="1">COUNTIFS('PL1(Full)'!$C$7:$C$1298,B15)</f>
        <v>17</v>
      </c>
      <c r="G15" s="254"/>
      <c r="H15" s="252"/>
      <c r="I15" s="166"/>
      <c r="J15" s="166"/>
    </row>
    <row r="16" spans="1:10" ht="15.75">
      <c r="A16" s="252"/>
      <c r="B16" s="164" t="str">
        <f ca="1">IFERROR(__xludf.DUMMYFUNCTION("""COMPUTED_VALUE"""),"X. Quảng Khê")</f>
        <v>X. Quảng Khê</v>
      </c>
      <c r="C16" s="252"/>
      <c r="D16" s="165">
        <f ca="1">SUMIFS('PL1(Full)'!$I$7:$I$1298,'PL1(Full)'!$C$7:$C$1298,B16)</f>
        <v>865</v>
      </c>
      <c r="E16" s="252"/>
      <c r="F16" s="165">
        <f ca="1">COUNTIFS('PL1(Full)'!$C$7:$C$1298,B16)</f>
        <v>11</v>
      </c>
      <c r="G16" s="254"/>
      <c r="H16" s="252"/>
      <c r="I16" s="166"/>
      <c r="J16" s="166"/>
    </row>
    <row r="17" spans="1:10" ht="15.75">
      <c r="A17" s="252"/>
      <c r="B17" s="164" t="str">
        <f ca="1">IFERROR(__xludf.DUMMYFUNCTION("""COMPUTED_VALUE"""),"X. Thượng Giáo")</f>
        <v>X. Thượng Giáo</v>
      </c>
      <c r="C17" s="252"/>
      <c r="D17" s="165">
        <f ca="1">SUMIFS('PL1(Full)'!$I$7:$I$1298,'PL1(Full)'!$C$7:$C$1298,B17)</f>
        <v>1385</v>
      </c>
      <c r="E17" s="252"/>
      <c r="F17" s="165">
        <f ca="1">COUNTIFS('PL1(Full)'!$C$7:$C$1298,B17)</f>
        <v>19</v>
      </c>
      <c r="G17" s="254"/>
      <c r="H17" s="252"/>
      <c r="I17" s="166"/>
      <c r="J17" s="166"/>
    </row>
    <row r="18" spans="1:10" ht="15.75">
      <c r="A18" s="238"/>
      <c r="B18" s="164" t="str">
        <f ca="1">IFERROR(__xludf.DUMMYFUNCTION("""COMPUTED_VALUE"""),"X. Yến Dương")</f>
        <v>X. Yến Dương</v>
      </c>
      <c r="C18" s="238"/>
      <c r="D18" s="165">
        <f ca="1">SUMIFS('PL1(Full)'!$I$7:$I$1298,'PL1(Full)'!$C$7:$C$1298,B18)</f>
        <v>645</v>
      </c>
      <c r="E18" s="238"/>
      <c r="F18" s="165">
        <f ca="1">COUNTIFS('PL1(Full)'!$C$7:$C$1298,B18)</f>
        <v>9</v>
      </c>
      <c r="G18" s="255"/>
      <c r="H18" s="238"/>
      <c r="I18" s="166"/>
      <c r="J18" s="166"/>
    </row>
    <row r="19" spans="1:10" ht="15.75">
      <c r="A19" s="257" t="s">
        <v>261</v>
      </c>
      <c r="B19" s="164" t="str">
        <f ca="1">IFERROR(__xludf.DUMMYFUNCTION("""COMPUTED_VALUE"""),"TT. Phủ Thông")</f>
        <v>TT. Phủ Thông</v>
      </c>
      <c r="C19" s="251">
        <f>SUMIFS('PL1(Full)'!$I$7:$I$1298,'PL1(Full)'!$B$7:$B$1298,A19)</f>
        <v>8698</v>
      </c>
      <c r="D19" s="165">
        <f ca="1">SUMIFS('PL1(Full)'!$I$7:$I$1298,'PL1(Full)'!$C$7:$C$1298,B19)</f>
        <v>971</v>
      </c>
      <c r="E19" s="251">
        <f>COUNTIFS('PL1(Full)'!$B$7:$B$1298,A19)</f>
        <v>139</v>
      </c>
      <c r="F19" s="165">
        <f ca="1">COUNTIFS('PL1(Full)'!$C$7:$C$1298,B19)</f>
        <v>11</v>
      </c>
      <c r="G19" s="253" t="s">
        <v>1326</v>
      </c>
      <c r="H19" s="251">
        <v>103</v>
      </c>
      <c r="I19" s="166"/>
      <c r="J19" s="166"/>
    </row>
    <row r="20" spans="1:10" ht="15.75">
      <c r="A20" s="252"/>
      <c r="B20" s="164" t="str">
        <f ca="1">IFERROR(__xludf.DUMMYFUNCTION("""COMPUTED_VALUE"""),"X. Cẩm Giàng")</f>
        <v>X. Cẩm Giàng</v>
      </c>
      <c r="C20" s="252"/>
      <c r="D20" s="165">
        <f ca="1">SUMIFS('PL1(Full)'!$I$7:$I$1298,'PL1(Full)'!$C$7:$C$1298,B20)</f>
        <v>625</v>
      </c>
      <c r="E20" s="252"/>
      <c r="F20" s="165">
        <f ca="1">COUNTIFS('PL1(Full)'!$C$7:$C$1298,B20)</f>
        <v>9</v>
      </c>
      <c r="G20" s="254"/>
      <c r="H20" s="252"/>
      <c r="I20" s="166"/>
      <c r="J20" s="166"/>
    </row>
    <row r="21" spans="1:10" ht="15.75">
      <c r="A21" s="252"/>
      <c r="B21" s="164" t="str">
        <f ca="1">IFERROR(__xludf.DUMMYFUNCTION("""COMPUTED_VALUE"""),"X. Cao Sơn")</f>
        <v>X. Cao Sơn</v>
      </c>
      <c r="C21" s="252"/>
      <c r="D21" s="165">
        <f ca="1">SUMIFS('PL1(Full)'!$I$7:$I$1298,'PL1(Full)'!$C$7:$C$1298,B21)</f>
        <v>223</v>
      </c>
      <c r="E21" s="252"/>
      <c r="F21" s="165">
        <f ca="1">COUNTIFS('PL1(Full)'!$C$7:$C$1298,B21)</f>
        <v>6</v>
      </c>
      <c r="G21" s="254"/>
      <c r="H21" s="252"/>
      <c r="I21" s="166"/>
      <c r="J21" s="166"/>
    </row>
    <row r="22" spans="1:10" ht="15.75">
      <c r="A22" s="252"/>
      <c r="B22" s="164" t="str">
        <f ca="1">IFERROR(__xludf.DUMMYFUNCTION("""COMPUTED_VALUE"""),"X. Đôn Phong")</f>
        <v>X. Đôn Phong</v>
      </c>
      <c r="C22" s="252"/>
      <c r="D22" s="165">
        <f ca="1">SUMIFS('PL1(Full)'!$I$7:$I$1298,'PL1(Full)'!$C$7:$C$1298,B22)</f>
        <v>605</v>
      </c>
      <c r="E22" s="252"/>
      <c r="F22" s="165">
        <f ca="1">COUNTIFS('PL1(Full)'!$C$7:$C$1298,B22)</f>
        <v>10</v>
      </c>
      <c r="G22" s="254"/>
      <c r="H22" s="252"/>
      <c r="I22" s="166"/>
      <c r="J22" s="166"/>
    </row>
    <row r="23" spans="1:10" ht="15.75">
      <c r="A23" s="252"/>
      <c r="B23" s="164" t="str">
        <f ca="1">IFERROR(__xludf.DUMMYFUNCTION("""COMPUTED_VALUE"""),"X. Dương Phong")</f>
        <v>X. Dương Phong</v>
      </c>
      <c r="C23" s="252"/>
      <c r="D23" s="165">
        <f ca="1">SUMIFS('PL1(Full)'!$I$7:$I$1298,'PL1(Full)'!$C$7:$C$1298,B23)</f>
        <v>494</v>
      </c>
      <c r="E23" s="252"/>
      <c r="F23" s="165">
        <f ca="1">COUNTIFS('PL1(Full)'!$C$7:$C$1298,B23)</f>
        <v>9</v>
      </c>
      <c r="G23" s="254"/>
      <c r="H23" s="252"/>
      <c r="I23" s="166"/>
      <c r="J23" s="166"/>
    </row>
    <row r="24" spans="1:10" ht="15.75">
      <c r="A24" s="252"/>
      <c r="B24" s="164" t="str">
        <f ca="1">IFERROR(__xludf.DUMMYFUNCTION("""COMPUTED_VALUE"""),"X. Lục Bình")</f>
        <v>X. Lục Bình</v>
      </c>
      <c r="C24" s="252"/>
      <c r="D24" s="165">
        <f ca="1">SUMIFS('PL1(Full)'!$I$7:$I$1298,'PL1(Full)'!$C$7:$C$1298,B24)</f>
        <v>677</v>
      </c>
      <c r="E24" s="252"/>
      <c r="F24" s="165">
        <f ca="1">COUNTIFS('PL1(Full)'!$C$7:$C$1298,B24)</f>
        <v>8</v>
      </c>
      <c r="G24" s="254"/>
      <c r="H24" s="252"/>
      <c r="I24" s="166"/>
      <c r="J24" s="166"/>
    </row>
    <row r="25" spans="1:10" ht="15.75">
      <c r="A25" s="252"/>
      <c r="B25" s="164" t="str">
        <f ca="1">IFERROR(__xludf.DUMMYFUNCTION("""COMPUTED_VALUE"""),"X. Mỹ Thanh")</f>
        <v>X. Mỹ Thanh</v>
      </c>
      <c r="C25" s="252"/>
      <c r="D25" s="165">
        <f ca="1">SUMIFS('PL1(Full)'!$I$7:$I$1298,'PL1(Full)'!$C$7:$C$1298,B25)</f>
        <v>533</v>
      </c>
      <c r="E25" s="252"/>
      <c r="F25" s="165">
        <f ca="1">COUNTIFS('PL1(Full)'!$C$7:$C$1298,B25)</f>
        <v>7</v>
      </c>
      <c r="G25" s="254"/>
      <c r="H25" s="252"/>
      <c r="I25" s="166"/>
      <c r="J25" s="166"/>
    </row>
    <row r="26" spans="1:10" ht="15.75">
      <c r="A26" s="252"/>
      <c r="B26" s="164" t="str">
        <f ca="1">IFERROR(__xludf.DUMMYFUNCTION("""COMPUTED_VALUE"""),"X. Nguyên Phúc")</f>
        <v>X. Nguyên Phúc</v>
      </c>
      <c r="C26" s="252"/>
      <c r="D26" s="165">
        <f ca="1">SUMIFS('PL1(Full)'!$I$7:$I$1298,'PL1(Full)'!$C$7:$C$1298,B26)</f>
        <v>519</v>
      </c>
      <c r="E26" s="252"/>
      <c r="F26" s="165">
        <f ca="1">COUNTIFS('PL1(Full)'!$C$7:$C$1298,B26)</f>
        <v>10</v>
      </c>
      <c r="G26" s="254"/>
      <c r="H26" s="252"/>
      <c r="I26" s="166"/>
      <c r="J26" s="166"/>
    </row>
    <row r="27" spans="1:10" ht="15.75">
      <c r="A27" s="252"/>
      <c r="B27" s="164" t="str">
        <f ca="1">IFERROR(__xludf.DUMMYFUNCTION("""COMPUTED_VALUE"""),"X. Quân Hà")</f>
        <v>X. Quân Hà</v>
      </c>
      <c r="C27" s="252"/>
      <c r="D27" s="165">
        <f ca="1">SUMIFS('PL1(Full)'!$I$7:$I$1298,'PL1(Full)'!$C$7:$C$1298,B27)</f>
        <v>1050</v>
      </c>
      <c r="E27" s="252"/>
      <c r="F27" s="165">
        <f ca="1">COUNTIFS('PL1(Full)'!$C$7:$C$1298,B27)</f>
        <v>15</v>
      </c>
      <c r="G27" s="254"/>
      <c r="H27" s="252"/>
      <c r="I27" s="166"/>
      <c r="J27" s="166"/>
    </row>
    <row r="28" spans="1:10" ht="15.75">
      <c r="A28" s="252"/>
      <c r="B28" s="164" t="str">
        <f ca="1">IFERROR(__xludf.DUMMYFUNCTION("""COMPUTED_VALUE"""),"X. Quang Thuận")</f>
        <v>X. Quang Thuận</v>
      </c>
      <c r="C28" s="252"/>
      <c r="D28" s="165">
        <f ca="1">SUMIFS('PL1(Full)'!$I$7:$I$1298,'PL1(Full)'!$C$7:$C$1298,B28)</f>
        <v>527</v>
      </c>
      <c r="E28" s="252"/>
      <c r="F28" s="165">
        <f ca="1">COUNTIFS('PL1(Full)'!$C$7:$C$1298,B28)</f>
        <v>11</v>
      </c>
      <c r="G28" s="254"/>
      <c r="H28" s="252"/>
      <c r="I28" s="166"/>
      <c r="J28" s="166"/>
    </row>
    <row r="29" spans="1:10" ht="15.75">
      <c r="A29" s="252"/>
      <c r="B29" s="164" t="str">
        <f ca="1">IFERROR(__xludf.DUMMYFUNCTION("""COMPUTED_VALUE"""),"X. Sỹ Bình")</f>
        <v>X. Sỹ Bình</v>
      </c>
      <c r="C29" s="252"/>
      <c r="D29" s="165">
        <f ca="1">SUMIFS('PL1(Full)'!$I$7:$I$1298,'PL1(Full)'!$C$7:$C$1298,B29)</f>
        <v>448</v>
      </c>
      <c r="E29" s="252"/>
      <c r="F29" s="165">
        <f ca="1">COUNTIFS('PL1(Full)'!$C$7:$C$1298,B29)</f>
        <v>11</v>
      </c>
      <c r="G29" s="254"/>
      <c r="H29" s="252"/>
      <c r="I29" s="166"/>
      <c r="J29" s="166"/>
    </row>
    <row r="30" spans="1:10" ht="15.75">
      <c r="A30" s="252"/>
      <c r="B30" s="164" t="str">
        <f ca="1">IFERROR(__xludf.DUMMYFUNCTION("""COMPUTED_VALUE"""),"X. Tân Tú")</f>
        <v>X. Tân Tú</v>
      </c>
      <c r="C30" s="252"/>
      <c r="D30" s="165">
        <f ca="1">SUMIFS('PL1(Full)'!$I$7:$I$1298,'PL1(Full)'!$C$7:$C$1298,B30)</f>
        <v>959</v>
      </c>
      <c r="E30" s="252"/>
      <c r="F30" s="165">
        <f ca="1">COUNTIFS('PL1(Full)'!$C$7:$C$1298,B30)</f>
        <v>13</v>
      </c>
      <c r="G30" s="254"/>
      <c r="H30" s="252"/>
      <c r="I30" s="166"/>
      <c r="J30" s="166"/>
    </row>
    <row r="31" spans="1:10" ht="15.75">
      <c r="A31" s="252"/>
      <c r="B31" s="164" t="str">
        <f ca="1">IFERROR(__xludf.DUMMYFUNCTION("""COMPUTED_VALUE"""),"X. Vi Hương")</f>
        <v>X. Vi Hương</v>
      </c>
      <c r="C31" s="252"/>
      <c r="D31" s="165">
        <f ca="1">SUMIFS('PL1(Full)'!$I$7:$I$1298,'PL1(Full)'!$C$7:$C$1298,B31)</f>
        <v>631</v>
      </c>
      <c r="E31" s="252"/>
      <c r="F31" s="165">
        <f ca="1">COUNTIFS('PL1(Full)'!$C$7:$C$1298,B31)</f>
        <v>9</v>
      </c>
      <c r="G31" s="254"/>
      <c r="H31" s="252"/>
      <c r="I31" s="166"/>
      <c r="J31" s="166"/>
    </row>
    <row r="32" spans="1:10" ht="15.75">
      <c r="A32" s="238"/>
      <c r="B32" s="164" t="str">
        <f ca="1">IFERROR(__xludf.DUMMYFUNCTION("""COMPUTED_VALUE"""),"X. Vũ Muộn")</f>
        <v>X. Vũ Muộn</v>
      </c>
      <c r="C32" s="238"/>
      <c r="D32" s="165">
        <f ca="1">SUMIFS('PL1(Full)'!$I$7:$I$1298,'PL1(Full)'!$C$7:$C$1298,B32)</f>
        <v>436</v>
      </c>
      <c r="E32" s="238"/>
      <c r="F32" s="165">
        <f ca="1">COUNTIFS('PL1(Full)'!$C$7:$C$1298,B32)</f>
        <v>10</v>
      </c>
      <c r="G32" s="255"/>
      <c r="H32" s="238"/>
      <c r="I32" s="166"/>
      <c r="J32" s="166"/>
    </row>
    <row r="33" spans="1:10" ht="15.75">
      <c r="A33" s="257" t="s">
        <v>409</v>
      </c>
      <c r="B33" s="164" t="str">
        <f ca="1">IFERROR(__xludf.DUMMYFUNCTION("""COMPUTED_VALUE"""),"TT. Bằng Lũng")</f>
        <v>TT. Bằng Lũng</v>
      </c>
      <c r="C33" s="251">
        <f>SUMIFS('PL1(Full)'!$I$7:$I$1298,'PL1(Full)'!$B$7:$B$1298,A33)</f>
        <v>13337</v>
      </c>
      <c r="D33" s="165">
        <f ca="1">SUMIFS('PL1(Full)'!$I$7:$I$1298,'PL1(Full)'!$C$7:$C$1298,B33)</f>
        <v>1820</v>
      </c>
      <c r="E33" s="251">
        <f>COUNTIFS('PL1(Full)'!$B$7:$B$1298,A33)</f>
        <v>227</v>
      </c>
      <c r="F33" s="165">
        <f ca="1">COUNTIFS('PL1(Full)'!$C$7:$C$1298,B33)</f>
        <v>25</v>
      </c>
      <c r="G33" s="253" t="s">
        <v>1327</v>
      </c>
      <c r="H33" s="251">
        <v>173</v>
      </c>
      <c r="I33" s="166"/>
      <c r="J33" s="166"/>
    </row>
    <row r="34" spans="1:10" ht="15.75">
      <c r="A34" s="252"/>
      <c r="B34" s="164" t="str">
        <f ca="1">IFERROR(__xludf.DUMMYFUNCTION("""COMPUTED_VALUE"""),"X. Bản Thi")</f>
        <v>X. Bản Thi</v>
      </c>
      <c r="C34" s="252"/>
      <c r="D34" s="165">
        <f ca="1">SUMIFS('PL1(Full)'!$I$7:$I$1298,'PL1(Full)'!$C$7:$C$1298,B34)</f>
        <v>447</v>
      </c>
      <c r="E34" s="252"/>
      <c r="F34" s="165">
        <f ca="1">COUNTIFS('PL1(Full)'!$C$7:$C$1298,B34)</f>
        <v>8</v>
      </c>
      <c r="G34" s="254"/>
      <c r="H34" s="252"/>
      <c r="I34" s="166"/>
      <c r="J34" s="166"/>
    </row>
    <row r="35" spans="1:10" ht="15.75">
      <c r="A35" s="252"/>
      <c r="B35" s="164" t="str">
        <f ca="1">IFERROR(__xludf.DUMMYFUNCTION("""COMPUTED_VALUE"""),"X. Bằng Lãng")</f>
        <v>X. Bằng Lãng</v>
      </c>
      <c r="C35" s="252"/>
      <c r="D35" s="165">
        <f ca="1">SUMIFS('PL1(Full)'!$I$7:$I$1298,'PL1(Full)'!$C$7:$C$1298,B35)</f>
        <v>465</v>
      </c>
      <c r="E35" s="252"/>
      <c r="F35" s="165">
        <f ca="1">COUNTIFS('PL1(Full)'!$C$7:$C$1298,B35)</f>
        <v>10</v>
      </c>
      <c r="G35" s="254"/>
      <c r="H35" s="252"/>
      <c r="I35" s="166"/>
      <c r="J35" s="166"/>
    </row>
    <row r="36" spans="1:10" ht="15.75">
      <c r="A36" s="252"/>
      <c r="B36" s="164" t="str">
        <f ca="1">IFERROR(__xludf.DUMMYFUNCTION("""COMPUTED_VALUE"""),"X. Bằng Phúc")</f>
        <v>X. Bằng Phúc</v>
      </c>
      <c r="C36" s="252"/>
      <c r="D36" s="165">
        <f ca="1">SUMIFS('PL1(Full)'!$I$7:$I$1298,'PL1(Full)'!$C$7:$C$1298,B36)</f>
        <v>624</v>
      </c>
      <c r="E36" s="252"/>
      <c r="F36" s="165">
        <f ca="1">COUNTIFS('PL1(Full)'!$C$7:$C$1298,B36)</f>
        <v>9</v>
      </c>
      <c r="G36" s="254"/>
      <c r="H36" s="252"/>
      <c r="I36" s="166"/>
      <c r="J36" s="166"/>
    </row>
    <row r="37" spans="1:10" ht="15.75">
      <c r="A37" s="252"/>
      <c r="B37" s="164" t="str">
        <f ca="1">IFERROR(__xludf.DUMMYFUNCTION("""COMPUTED_VALUE"""),"X. Bình Trung")</f>
        <v>X. Bình Trung</v>
      </c>
      <c r="C37" s="252"/>
      <c r="D37" s="165">
        <f ca="1">SUMIFS('PL1(Full)'!$I$7:$I$1298,'PL1(Full)'!$C$7:$C$1298,B37)</f>
        <v>808</v>
      </c>
      <c r="E37" s="252"/>
      <c r="F37" s="165">
        <f ca="1">COUNTIFS('PL1(Full)'!$C$7:$C$1298,B37)</f>
        <v>15</v>
      </c>
      <c r="G37" s="254"/>
      <c r="H37" s="252"/>
      <c r="I37" s="166"/>
      <c r="J37" s="166"/>
    </row>
    <row r="38" spans="1:10" ht="15.75">
      <c r="A38" s="252"/>
      <c r="B38" s="164" t="str">
        <f ca="1">IFERROR(__xludf.DUMMYFUNCTION("""COMPUTED_VALUE"""),"X. Đại Sảo")</f>
        <v>X. Đại Sảo</v>
      </c>
      <c r="C38" s="252"/>
      <c r="D38" s="165">
        <f ca="1">SUMIFS('PL1(Full)'!$I$7:$I$1298,'PL1(Full)'!$C$7:$C$1298,B38)</f>
        <v>551</v>
      </c>
      <c r="E38" s="252"/>
      <c r="F38" s="165">
        <f ca="1">COUNTIFS('PL1(Full)'!$C$7:$C$1298,B38)</f>
        <v>7</v>
      </c>
      <c r="G38" s="254"/>
      <c r="H38" s="252"/>
      <c r="I38" s="166"/>
      <c r="J38" s="166"/>
    </row>
    <row r="39" spans="1:10" ht="15.75">
      <c r="A39" s="252"/>
      <c r="B39" s="164" t="str">
        <f ca="1">IFERROR(__xludf.DUMMYFUNCTION("""COMPUTED_VALUE"""),"X. Đồng Lạc")</f>
        <v>X. Đồng Lạc</v>
      </c>
      <c r="C39" s="252"/>
      <c r="D39" s="165">
        <f ca="1">SUMIFS('PL1(Full)'!$I$7:$I$1298,'PL1(Full)'!$C$7:$C$1298,B39)</f>
        <v>587</v>
      </c>
      <c r="E39" s="252"/>
      <c r="F39" s="165">
        <f ca="1">COUNTIFS('PL1(Full)'!$C$7:$C$1298,B39)</f>
        <v>6</v>
      </c>
      <c r="G39" s="254"/>
      <c r="H39" s="252"/>
      <c r="I39" s="166"/>
      <c r="J39" s="166"/>
    </row>
    <row r="40" spans="1:10" ht="15.75">
      <c r="A40" s="252"/>
      <c r="B40" s="164" t="str">
        <f ca="1">IFERROR(__xludf.DUMMYFUNCTION("""COMPUTED_VALUE"""),"X. Đồng Thắng")</f>
        <v>X. Đồng Thắng</v>
      </c>
      <c r="C40" s="252"/>
      <c r="D40" s="165">
        <f ca="1">SUMIFS('PL1(Full)'!$I$7:$I$1298,'PL1(Full)'!$C$7:$C$1298,B40)</f>
        <v>991</v>
      </c>
      <c r="E40" s="252"/>
      <c r="F40" s="165">
        <f ca="1">COUNTIFS('PL1(Full)'!$C$7:$C$1298,B40)</f>
        <v>22</v>
      </c>
      <c r="G40" s="254"/>
      <c r="H40" s="252"/>
      <c r="I40" s="166"/>
      <c r="J40" s="166"/>
    </row>
    <row r="41" spans="1:10" ht="15.75">
      <c r="A41" s="252"/>
      <c r="B41" s="164" t="str">
        <f ca="1">IFERROR(__xludf.DUMMYFUNCTION("""COMPUTED_VALUE"""),"X. Lương Bằng")</f>
        <v>X. Lương Bằng</v>
      </c>
      <c r="C41" s="252"/>
      <c r="D41" s="165">
        <f ca="1">SUMIFS('PL1(Full)'!$I$7:$I$1298,'PL1(Full)'!$C$7:$C$1298,B41)</f>
        <v>539</v>
      </c>
      <c r="E41" s="252"/>
      <c r="F41" s="165">
        <f ca="1">COUNTIFS('PL1(Full)'!$C$7:$C$1298,B41)</f>
        <v>15</v>
      </c>
      <c r="G41" s="254"/>
      <c r="H41" s="252"/>
      <c r="I41" s="166"/>
      <c r="J41" s="166"/>
    </row>
    <row r="42" spans="1:10" ht="15.75">
      <c r="A42" s="252"/>
      <c r="B42" s="164" t="str">
        <f ca="1">IFERROR(__xludf.DUMMYFUNCTION("""COMPUTED_VALUE"""),"X. Nam Cường")</f>
        <v>X. Nam Cường</v>
      </c>
      <c r="C42" s="252"/>
      <c r="D42" s="165">
        <f ca="1">SUMIFS('PL1(Full)'!$I$7:$I$1298,'PL1(Full)'!$C$7:$C$1298,B42)</f>
        <v>813</v>
      </c>
      <c r="E42" s="252"/>
      <c r="F42" s="165">
        <f ca="1">COUNTIFS('PL1(Full)'!$C$7:$C$1298,B42)</f>
        <v>10</v>
      </c>
      <c r="G42" s="254"/>
      <c r="H42" s="252"/>
      <c r="I42" s="166"/>
      <c r="J42" s="166"/>
    </row>
    <row r="43" spans="1:10" ht="15.75">
      <c r="A43" s="252"/>
      <c r="B43" s="164" t="str">
        <f ca="1">IFERROR(__xludf.DUMMYFUNCTION("""COMPUTED_VALUE"""),"X. Nghĩa Tá")</f>
        <v>X. Nghĩa Tá</v>
      </c>
      <c r="C43" s="252"/>
      <c r="D43" s="165">
        <f ca="1">SUMIFS('PL1(Full)'!$I$7:$I$1298,'PL1(Full)'!$C$7:$C$1298,B43)</f>
        <v>429</v>
      </c>
      <c r="E43" s="252"/>
      <c r="F43" s="165">
        <f ca="1">COUNTIFS('PL1(Full)'!$C$7:$C$1298,B43)</f>
        <v>9</v>
      </c>
      <c r="G43" s="254"/>
      <c r="H43" s="252"/>
      <c r="I43" s="166"/>
      <c r="J43" s="166"/>
    </row>
    <row r="44" spans="1:10" ht="15.75">
      <c r="A44" s="252"/>
      <c r="B44" s="164" t="str">
        <f ca="1">IFERROR(__xludf.DUMMYFUNCTION("""COMPUTED_VALUE"""),"X. Ngọc Phái")</f>
        <v>X. Ngọc Phái</v>
      </c>
      <c r="C44" s="252"/>
      <c r="D44" s="165">
        <f ca="1">SUMIFS('PL1(Full)'!$I$7:$I$1298,'PL1(Full)'!$C$7:$C$1298,B44)</f>
        <v>600</v>
      </c>
      <c r="E44" s="252"/>
      <c r="F44" s="165">
        <f ca="1">COUNTIFS('PL1(Full)'!$C$7:$C$1298,B44)</f>
        <v>7</v>
      </c>
      <c r="G44" s="254"/>
      <c r="H44" s="252"/>
      <c r="I44" s="166"/>
      <c r="J44" s="166"/>
    </row>
    <row r="45" spans="1:10" ht="15.75">
      <c r="A45" s="252"/>
      <c r="B45" s="164" t="str">
        <f ca="1">IFERROR(__xludf.DUMMYFUNCTION("""COMPUTED_VALUE"""),"X. Phương Viên")</f>
        <v>X. Phương Viên</v>
      </c>
      <c r="C45" s="252"/>
      <c r="D45" s="165">
        <f ca="1">SUMIFS('PL1(Full)'!$I$7:$I$1298,'PL1(Full)'!$C$7:$C$1298,B45)</f>
        <v>895</v>
      </c>
      <c r="E45" s="252"/>
      <c r="F45" s="165">
        <f ca="1">COUNTIFS('PL1(Full)'!$C$7:$C$1298,B45)</f>
        <v>9</v>
      </c>
      <c r="G45" s="254"/>
      <c r="H45" s="252"/>
      <c r="I45" s="166"/>
      <c r="J45" s="166"/>
    </row>
    <row r="46" spans="1:10" ht="15.75">
      <c r="A46" s="252"/>
      <c r="B46" s="164" t="str">
        <f ca="1">IFERROR(__xludf.DUMMYFUNCTION("""COMPUTED_VALUE"""),"X. Quảng Bạch")</f>
        <v>X. Quảng Bạch</v>
      </c>
      <c r="C46" s="252"/>
      <c r="D46" s="165">
        <f ca="1">SUMIFS('PL1(Full)'!$I$7:$I$1298,'PL1(Full)'!$C$7:$C$1298,B46)</f>
        <v>482</v>
      </c>
      <c r="E46" s="252"/>
      <c r="F46" s="165">
        <f ca="1">COUNTIFS('PL1(Full)'!$C$7:$C$1298,B46)</f>
        <v>8</v>
      </c>
      <c r="G46" s="254"/>
      <c r="H46" s="252"/>
      <c r="I46" s="166"/>
      <c r="J46" s="166"/>
    </row>
    <row r="47" spans="1:10" ht="15.75">
      <c r="A47" s="252"/>
      <c r="B47" s="164" t="str">
        <f ca="1">IFERROR(__xludf.DUMMYFUNCTION("""COMPUTED_VALUE"""),"X. Tân Lập")</f>
        <v>X. Tân Lập</v>
      </c>
      <c r="C47" s="252"/>
      <c r="D47" s="165">
        <f ca="1">SUMIFS('PL1(Full)'!$I$7:$I$1298,'PL1(Full)'!$C$7:$C$1298,B47)</f>
        <v>352</v>
      </c>
      <c r="E47" s="252"/>
      <c r="F47" s="165">
        <f ca="1">COUNTIFS('PL1(Full)'!$C$7:$C$1298,B47)</f>
        <v>8</v>
      </c>
      <c r="G47" s="254"/>
      <c r="H47" s="252"/>
      <c r="I47" s="166"/>
      <c r="J47" s="166"/>
    </row>
    <row r="48" spans="1:10" ht="15.75">
      <c r="A48" s="252"/>
      <c r="B48" s="164" t="str">
        <f ca="1">IFERROR(__xludf.DUMMYFUNCTION("""COMPUTED_VALUE"""),"X. Xuân Lạc")</f>
        <v>X. Xuân Lạc</v>
      </c>
      <c r="C48" s="252"/>
      <c r="D48" s="165">
        <f ca="1">SUMIFS('PL1(Full)'!$I$7:$I$1298,'PL1(Full)'!$C$7:$C$1298,B48)</f>
        <v>914</v>
      </c>
      <c r="E48" s="252"/>
      <c r="F48" s="165">
        <f ca="1">COUNTIFS('PL1(Full)'!$C$7:$C$1298,B48)</f>
        <v>14</v>
      </c>
      <c r="G48" s="254"/>
      <c r="H48" s="252"/>
      <c r="I48" s="166"/>
      <c r="J48" s="166"/>
    </row>
    <row r="49" spans="1:10" ht="15.75">
      <c r="A49" s="252"/>
      <c r="B49" s="164" t="str">
        <f ca="1">IFERROR(__xludf.DUMMYFUNCTION("""COMPUTED_VALUE"""),"X. Yên Mỹ")</f>
        <v>X. Yên Mỹ</v>
      </c>
      <c r="C49" s="252"/>
      <c r="D49" s="165">
        <f ca="1">SUMIFS('PL1(Full)'!$I$7:$I$1298,'PL1(Full)'!$C$7:$C$1298,B49)</f>
        <v>406</v>
      </c>
      <c r="E49" s="252"/>
      <c r="F49" s="165">
        <f ca="1">COUNTIFS('PL1(Full)'!$C$7:$C$1298,B49)</f>
        <v>8</v>
      </c>
      <c r="G49" s="254"/>
      <c r="H49" s="252"/>
      <c r="I49" s="166"/>
      <c r="J49" s="166"/>
    </row>
    <row r="50" spans="1:10" ht="15.75">
      <c r="A50" s="252"/>
      <c r="B50" s="164" t="str">
        <f ca="1">IFERROR(__xludf.DUMMYFUNCTION("""COMPUTED_VALUE"""),"X. Yên Phong")</f>
        <v>X. Yên Phong</v>
      </c>
      <c r="C50" s="252"/>
      <c r="D50" s="165">
        <f ca="1">SUMIFS('PL1(Full)'!$I$7:$I$1298,'PL1(Full)'!$C$7:$C$1298,B50)</f>
        <v>776</v>
      </c>
      <c r="E50" s="252"/>
      <c r="F50" s="165">
        <f ca="1">COUNTIFS('PL1(Full)'!$C$7:$C$1298,B50)</f>
        <v>17</v>
      </c>
      <c r="G50" s="254"/>
      <c r="H50" s="252"/>
      <c r="I50" s="166"/>
      <c r="J50" s="166"/>
    </row>
    <row r="51" spans="1:10" ht="15.75">
      <c r="A51" s="252"/>
      <c r="B51" s="164" t="str">
        <f ca="1">IFERROR(__xludf.DUMMYFUNCTION("""COMPUTED_VALUE"""),"X. Yên Thịnh")</f>
        <v>X. Yên Thịnh</v>
      </c>
      <c r="C51" s="252"/>
      <c r="D51" s="165">
        <f ca="1">SUMIFS('PL1(Full)'!$I$7:$I$1298,'PL1(Full)'!$C$7:$C$1298,B51)</f>
        <v>472</v>
      </c>
      <c r="E51" s="252"/>
      <c r="F51" s="165">
        <f ca="1">COUNTIFS('PL1(Full)'!$C$7:$C$1298,B51)</f>
        <v>10</v>
      </c>
      <c r="G51" s="254"/>
      <c r="H51" s="252"/>
      <c r="I51" s="166"/>
      <c r="J51" s="166"/>
    </row>
    <row r="52" spans="1:10" ht="15.75">
      <c r="A52" s="238"/>
      <c r="B52" s="164" t="str">
        <f ca="1">IFERROR(__xludf.DUMMYFUNCTION("""COMPUTED_VALUE"""),"X. Yên Thượng")</f>
        <v>X. Yên Thượng</v>
      </c>
      <c r="C52" s="238"/>
      <c r="D52" s="165">
        <f ca="1">SUMIFS('PL1(Full)'!$I$7:$I$1298,'PL1(Full)'!$C$7:$C$1298,B52)</f>
        <v>366</v>
      </c>
      <c r="E52" s="238"/>
      <c r="F52" s="165">
        <f ca="1">COUNTIFS('PL1(Full)'!$C$7:$C$1298,B52)</f>
        <v>10</v>
      </c>
      <c r="G52" s="255"/>
      <c r="H52" s="238"/>
      <c r="I52" s="166"/>
      <c r="J52" s="166"/>
    </row>
    <row r="53" spans="1:10" ht="15.75">
      <c r="A53" s="257" t="s">
        <v>637</v>
      </c>
      <c r="B53" s="164" t="str">
        <f ca="1">IFERROR(__xludf.DUMMYFUNCTION("""COMPUTED_VALUE"""),"TT. Đồng Tâm")</f>
        <v>TT. Đồng Tâm</v>
      </c>
      <c r="C53" s="251">
        <f>SUMIFS('PL1(Full)'!$I$7:$I$1298,'PL1(Full)'!$B$7:$B$1298,A53)</f>
        <v>10464</v>
      </c>
      <c r="D53" s="165">
        <f ca="1">SUMIFS('PL1(Full)'!$I$7:$I$1298,'PL1(Full)'!$C$7:$C$1298,B53)</f>
        <v>1549</v>
      </c>
      <c r="E53" s="251">
        <f>COUNTIFS('PL1(Full)'!$B$7:$B$1298,A53)</f>
        <v>153</v>
      </c>
      <c r="F53" s="165">
        <f ca="1">COUNTIFS('PL1(Full)'!$C$7:$C$1298,B53)</f>
        <v>12</v>
      </c>
      <c r="G53" s="253" t="s">
        <v>1328</v>
      </c>
      <c r="H53" s="251">
        <v>97</v>
      </c>
      <c r="I53" s="166"/>
      <c r="J53" s="166"/>
    </row>
    <row r="54" spans="1:10" ht="15.75">
      <c r="A54" s="252"/>
      <c r="B54" s="164" t="str">
        <f ca="1">IFERROR(__xludf.DUMMYFUNCTION("""COMPUTED_VALUE"""),"X. Bình Văn")</f>
        <v>X. Bình Văn</v>
      </c>
      <c r="C54" s="252"/>
      <c r="D54" s="165">
        <f ca="1">SUMIFS('PL1(Full)'!$I$7:$I$1298,'PL1(Full)'!$C$7:$C$1298,B54)</f>
        <v>353</v>
      </c>
      <c r="E54" s="252"/>
      <c r="F54" s="165">
        <f ca="1">COUNTIFS('PL1(Full)'!$C$7:$C$1298,B54)</f>
        <v>7</v>
      </c>
      <c r="G54" s="254"/>
      <c r="H54" s="252"/>
      <c r="I54" s="166"/>
      <c r="J54" s="166"/>
    </row>
    <row r="55" spans="1:10" ht="15.75">
      <c r="A55" s="252"/>
      <c r="B55" s="164" t="str">
        <f ca="1">IFERROR(__xludf.DUMMYFUNCTION("""COMPUTED_VALUE"""),"X. Cao Kỳ")</f>
        <v>X. Cao Kỳ</v>
      </c>
      <c r="C55" s="252"/>
      <c r="D55" s="165">
        <f ca="1">SUMIFS('PL1(Full)'!$I$7:$I$1298,'PL1(Full)'!$C$7:$C$1298,B55)</f>
        <v>787</v>
      </c>
      <c r="E55" s="252"/>
      <c r="F55" s="165">
        <f ca="1">COUNTIFS('PL1(Full)'!$C$7:$C$1298,B55)</f>
        <v>13</v>
      </c>
      <c r="G55" s="254"/>
      <c r="H55" s="252"/>
      <c r="I55" s="166"/>
      <c r="J55" s="166"/>
    </row>
    <row r="56" spans="1:10" ht="15.75">
      <c r="A56" s="252"/>
      <c r="B56" s="164" t="str">
        <f ca="1">IFERROR(__xludf.DUMMYFUNCTION("""COMPUTED_VALUE"""),"X. Hòa Mục")</f>
        <v>X. Hòa Mục</v>
      </c>
      <c r="C56" s="252"/>
      <c r="D56" s="165">
        <f ca="1">SUMIFS('PL1(Full)'!$I$7:$I$1298,'PL1(Full)'!$C$7:$C$1298,B56)</f>
        <v>610</v>
      </c>
      <c r="E56" s="252"/>
      <c r="F56" s="165">
        <f ca="1">COUNTIFS('PL1(Full)'!$C$7:$C$1298,B56)</f>
        <v>8</v>
      </c>
      <c r="G56" s="254"/>
      <c r="H56" s="252"/>
      <c r="I56" s="166"/>
      <c r="J56" s="166"/>
    </row>
    <row r="57" spans="1:10" ht="15.75">
      <c r="A57" s="252"/>
      <c r="B57" s="164" t="str">
        <f ca="1">IFERROR(__xludf.DUMMYFUNCTION("""COMPUTED_VALUE"""),"X. Mai Lạp")</f>
        <v>X. Mai Lạp</v>
      </c>
      <c r="C57" s="252"/>
      <c r="D57" s="165">
        <f ca="1">SUMIFS('PL1(Full)'!$I$7:$I$1298,'PL1(Full)'!$C$7:$C$1298,B57)</f>
        <v>456</v>
      </c>
      <c r="E57" s="252"/>
      <c r="F57" s="165">
        <f ca="1">COUNTIFS('PL1(Full)'!$C$7:$C$1298,B57)</f>
        <v>5</v>
      </c>
      <c r="G57" s="254"/>
      <c r="H57" s="252"/>
      <c r="I57" s="166"/>
      <c r="J57" s="166"/>
    </row>
    <row r="58" spans="1:10" ht="15.75">
      <c r="A58" s="252"/>
      <c r="B58" s="164" t="str">
        <f ca="1">IFERROR(__xludf.DUMMYFUNCTION("""COMPUTED_VALUE"""),"X. Như Cố")</f>
        <v>X. Như Cố</v>
      </c>
      <c r="C58" s="252"/>
      <c r="D58" s="165">
        <f ca="1">SUMIFS('PL1(Full)'!$I$7:$I$1298,'PL1(Full)'!$C$7:$C$1298,B58)</f>
        <v>704</v>
      </c>
      <c r="E58" s="252"/>
      <c r="F58" s="165">
        <f ca="1">COUNTIFS('PL1(Full)'!$C$7:$C$1298,B58)</f>
        <v>11</v>
      </c>
      <c r="G58" s="254"/>
      <c r="H58" s="252"/>
      <c r="I58" s="166"/>
      <c r="J58" s="166"/>
    </row>
    <row r="59" spans="1:10" ht="15.75">
      <c r="A59" s="252"/>
      <c r="B59" s="164" t="str">
        <f ca="1">IFERROR(__xludf.DUMMYFUNCTION("""COMPUTED_VALUE"""),"X. Nông Hạ")</f>
        <v>X. Nông Hạ</v>
      </c>
      <c r="C59" s="252"/>
      <c r="D59" s="165">
        <f ca="1">SUMIFS('PL1(Full)'!$I$7:$I$1298,'PL1(Full)'!$C$7:$C$1298,B59)</f>
        <v>1047</v>
      </c>
      <c r="E59" s="252"/>
      <c r="F59" s="165">
        <f ca="1">COUNTIFS('PL1(Full)'!$C$7:$C$1298,B59)</f>
        <v>15</v>
      </c>
      <c r="G59" s="254"/>
      <c r="H59" s="252"/>
      <c r="I59" s="166"/>
      <c r="J59" s="166"/>
    </row>
    <row r="60" spans="1:10" ht="15.75">
      <c r="A60" s="252"/>
      <c r="B60" s="164" t="str">
        <f ca="1">IFERROR(__xludf.DUMMYFUNCTION("""COMPUTED_VALUE"""),"X. Quảng Chu")</f>
        <v>X. Quảng Chu</v>
      </c>
      <c r="C60" s="252"/>
      <c r="D60" s="165">
        <f ca="1">SUMIFS('PL1(Full)'!$I$7:$I$1298,'PL1(Full)'!$C$7:$C$1298,B60)</f>
        <v>1021</v>
      </c>
      <c r="E60" s="252"/>
      <c r="F60" s="165">
        <f ca="1">COUNTIFS('PL1(Full)'!$C$7:$C$1298,B60)</f>
        <v>13</v>
      </c>
      <c r="G60" s="254"/>
      <c r="H60" s="252"/>
      <c r="I60" s="166"/>
      <c r="J60" s="166"/>
    </row>
    <row r="61" spans="1:10" ht="15.75">
      <c r="A61" s="252"/>
      <c r="B61" s="164" t="str">
        <f ca="1">IFERROR(__xludf.DUMMYFUNCTION("""COMPUTED_VALUE"""),"X. Tân Sơn")</f>
        <v>X. Tân Sơn</v>
      </c>
      <c r="C61" s="252"/>
      <c r="D61" s="165">
        <f ca="1">SUMIFS('PL1(Full)'!$I$7:$I$1298,'PL1(Full)'!$C$7:$C$1298,B61)</f>
        <v>413</v>
      </c>
      <c r="E61" s="252"/>
      <c r="F61" s="165">
        <f ca="1">COUNTIFS('PL1(Full)'!$C$7:$C$1298,B61)</f>
        <v>6</v>
      </c>
      <c r="G61" s="254"/>
      <c r="H61" s="252"/>
      <c r="I61" s="166"/>
      <c r="J61" s="166"/>
    </row>
    <row r="62" spans="1:10" ht="15.75">
      <c r="A62" s="252"/>
      <c r="B62" s="164" t="str">
        <f ca="1">IFERROR(__xludf.DUMMYFUNCTION("""COMPUTED_VALUE"""),"X. Thanh Mai")</f>
        <v>X. Thanh Mai</v>
      </c>
      <c r="C62" s="252"/>
      <c r="D62" s="165">
        <f ca="1">SUMIFS('PL1(Full)'!$I$7:$I$1298,'PL1(Full)'!$C$7:$C$1298,B62)</f>
        <v>727</v>
      </c>
      <c r="E62" s="252"/>
      <c r="F62" s="165">
        <f ca="1">COUNTIFS('PL1(Full)'!$C$7:$C$1298,B62)</f>
        <v>14</v>
      </c>
      <c r="G62" s="254"/>
      <c r="H62" s="252"/>
      <c r="I62" s="166"/>
      <c r="J62" s="166"/>
    </row>
    <row r="63" spans="1:10" ht="15.75">
      <c r="A63" s="252"/>
      <c r="B63" s="164" t="str">
        <f ca="1">IFERROR(__xludf.DUMMYFUNCTION("""COMPUTED_VALUE"""),"X. Thanh Thịnh")</f>
        <v>X. Thanh Thịnh</v>
      </c>
      <c r="C63" s="252"/>
      <c r="D63" s="165">
        <f ca="1">SUMIFS('PL1(Full)'!$I$7:$I$1298,'PL1(Full)'!$C$7:$C$1298,B63)</f>
        <v>1032</v>
      </c>
      <c r="E63" s="252"/>
      <c r="F63" s="165">
        <f ca="1">COUNTIFS('PL1(Full)'!$C$7:$C$1298,B63)</f>
        <v>16</v>
      </c>
      <c r="G63" s="254"/>
      <c r="H63" s="252"/>
      <c r="I63" s="166"/>
      <c r="J63" s="166"/>
    </row>
    <row r="64" spans="1:10" ht="15.75">
      <c r="A64" s="252"/>
      <c r="B64" s="164" t="str">
        <f ca="1">IFERROR(__xludf.DUMMYFUNCTION("""COMPUTED_VALUE"""),"X. Thanh Vận")</f>
        <v>X. Thanh Vận</v>
      </c>
      <c r="C64" s="252"/>
      <c r="D64" s="165">
        <f ca="1">SUMIFS('PL1(Full)'!$I$7:$I$1298,'PL1(Full)'!$C$7:$C$1298,B64)</f>
        <v>593</v>
      </c>
      <c r="E64" s="252"/>
      <c r="F64" s="165">
        <f ca="1">COUNTIFS('PL1(Full)'!$C$7:$C$1298,B64)</f>
        <v>7</v>
      </c>
      <c r="G64" s="254"/>
      <c r="H64" s="252"/>
      <c r="I64" s="166"/>
      <c r="J64" s="166"/>
    </row>
    <row r="65" spans="1:10" ht="15.75">
      <c r="A65" s="252"/>
      <c r="B65" s="164" t="str">
        <f ca="1">IFERROR(__xludf.DUMMYFUNCTION("""COMPUTED_VALUE"""),"X. Yên Cư")</f>
        <v>X. Yên Cư</v>
      </c>
      <c r="C65" s="252"/>
      <c r="D65" s="165">
        <f ca="1">SUMIFS('PL1(Full)'!$I$7:$I$1298,'PL1(Full)'!$C$7:$C$1298,B65)</f>
        <v>723</v>
      </c>
      <c r="E65" s="252"/>
      <c r="F65" s="165">
        <f ca="1">COUNTIFS('PL1(Full)'!$C$7:$C$1298,B65)</f>
        <v>16</v>
      </c>
      <c r="G65" s="254"/>
      <c r="H65" s="252"/>
      <c r="I65" s="166"/>
      <c r="J65" s="166"/>
    </row>
    <row r="66" spans="1:10" ht="15.75">
      <c r="A66" s="238"/>
      <c r="B66" s="164" t="str">
        <f ca="1">IFERROR(__xludf.DUMMYFUNCTION("""COMPUTED_VALUE"""),"X. Yên Hân")</f>
        <v>X. Yên Hân</v>
      </c>
      <c r="C66" s="238"/>
      <c r="D66" s="165">
        <f ca="1">SUMIFS('PL1(Full)'!$I$7:$I$1298,'PL1(Full)'!$C$7:$C$1298,B66)</f>
        <v>449</v>
      </c>
      <c r="E66" s="238"/>
      <c r="F66" s="165">
        <f ca="1">COUNTIFS('PL1(Full)'!$C$7:$C$1298,B66)</f>
        <v>10</v>
      </c>
      <c r="G66" s="255"/>
      <c r="H66" s="238"/>
      <c r="I66" s="166"/>
      <c r="J66" s="166"/>
    </row>
    <row r="67" spans="1:10" ht="15.75">
      <c r="A67" s="257" t="s">
        <v>784</v>
      </c>
      <c r="B67" s="164" t="str">
        <f ca="1">IFERROR(__xludf.DUMMYFUNCTION("""COMPUTED_VALUE"""),"TT. Yến Lạc")</f>
        <v>TT. Yến Lạc</v>
      </c>
      <c r="C67" s="251">
        <f>SUMIFS('PL1(Full)'!$I$7:$I$1298,'PL1(Full)'!$B$7:$B$1298,A67)</f>
        <v>10252</v>
      </c>
      <c r="D67" s="165">
        <f ca="1">SUMIFS('PL1(Full)'!$I$7:$I$1298,'PL1(Full)'!$C$7:$C$1298,B67)</f>
        <v>1329</v>
      </c>
      <c r="E67" s="251">
        <f>COUNTIFS('PL1(Full)'!$B$7:$B$1298,A67)</f>
        <v>222</v>
      </c>
      <c r="F67" s="165">
        <f ca="1">COUNTIFS('PL1(Full)'!$C$7:$C$1298,B67)</f>
        <v>19</v>
      </c>
      <c r="G67" s="253" t="s">
        <v>1329</v>
      </c>
      <c r="H67" s="251">
        <v>200</v>
      </c>
      <c r="I67" s="166"/>
      <c r="J67" s="166"/>
    </row>
    <row r="68" spans="1:10" ht="15.75">
      <c r="A68" s="252"/>
      <c r="B68" s="164" t="str">
        <f ca="1">IFERROR(__xludf.DUMMYFUNCTION("""COMPUTED_VALUE"""),"X. Côn Minh")</f>
        <v>X. Côn Minh</v>
      </c>
      <c r="C68" s="252"/>
      <c r="D68" s="165">
        <f ca="1">SUMIFS('PL1(Full)'!$I$7:$I$1298,'PL1(Full)'!$C$7:$C$1298,B68)</f>
        <v>689</v>
      </c>
      <c r="E68" s="252"/>
      <c r="F68" s="165">
        <f ca="1">COUNTIFS('PL1(Full)'!$C$7:$C$1298,B68)</f>
        <v>14</v>
      </c>
      <c r="G68" s="254"/>
      <c r="H68" s="252"/>
      <c r="I68" s="166"/>
      <c r="J68" s="166"/>
    </row>
    <row r="69" spans="1:10" ht="15.75">
      <c r="A69" s="252"/>
      <c r="B69" s="164" t="str">
        <f ca="1">IFERROR(__xludf.DUMMYFUNCTION("""COMPUTED_VALUE"""),"X. Cư Lễ")</f>
        <v>X. Cư Lễ</v>
      </c>
      <c r="C69" s="252"/>
      <c r="D69" s="165">
        <f ca="1">SUMIFS('PL1(Full)'!$I$7:$I$1298,'PL1(Full)'!$C$7:$C$1298,B69)</f>
        <v>557</v>
      </c>
      <c r="E69" s="252"/>
      <c r="F69" s="165">
        <f ca="1">COUNTIFS('PL1(Full)'!$C$7:$C$1298,B69)</f>
        <v>14</v>
      </c>
      <c r="G69" s="254"/>
      <c r="H69" s="252"/>
      <c r="I69" s="166"/>
      <c r="J69" s="166"/>
    </row>
    <row r="70" spans="1:10" ht="15.75">
      <c r="A70" s="252"/>
      <c r="B70" s="164" t="str">
        <f ca="1">IFERROR(__xludf.DUMMYFUNCTION("""COMPUTED_VALUE"""),"X. Cường Lợi")</f>
        <v>X. Cường Lợi</v>
      </c>
      <c r="C70" s="252"/>
      <c r="D70" s="165">
        <f ca="1">SUMIFS('PL1(Full)'!$I$7:$I$1298,'PL1(Full)'!$C$7:$C$1298,B70)</f>
        <v>617</v>
      </c>
      <c r="E70" s="252"/>
      <c r="F70" s="165">
        <f ca="1">COUNTIFS('PL1(Full)'!$C$7:$C$1298,B70)</f>
        <v>10</v>
      </c>
      <c r="G70" s="254"/>
      <c r="H70" s="252"/>
      <c r="I70" s="166"/>
      <c r="J70" s="166"/>
    </row>
    <row r="71" spans="1:10" ht="15.75">
      <c r="A71" s="252"/>
      <c r="B71" s="164" t="str">
        <f ca="1">IFERROR(__xludf.DUMMYFUNCTION("""COMPUTED_VALUE"""),"X. Đổng Xá")</f>
        <v>X. Đổng Xá</v>
      </c>
      <c r="C71" s="252"/>
      <c r="D71" s="165">
        <f ca="1">SUMIFS('PL1(Full)'!$I$7:$I$1298,'PL1(Full)'!$C$7:$C$1298,B71)</f>
        <v>677</v>
      </c>
      <c r="E71" s="252"/>
      <c r="F71" s="165">
        <f ca="1">COUNTIFS('PL1(Full)'!$C$7:$C$1298,B71)</f>
        <v>13</v>
      </c>
      <c r="G71" s="254"/>
      <c r="H71" s="252"/>
      <c r="I71" s="166"/>
      <c r="J71" s="166"/>
    </row>
    <row r="72" spans="1:10" ht="15.75">
      <c r="A72" s="252"/>
      <c r="B72" s="164" t="str">
        <f ca="1">IFERROR(__xludf.DUMMYFUNCTION("""COMPUTED_VALUE"""),"X. Dương Sơn")</f>
        <v>X. Dương Sơn</v>
      </c>
      <c r="C72" s="252"/>
      <c r="D72" s="165">
        <f ca="1">SUMIFS('PL1(Full)'!$I$7:$I$1298,'PL1(Full)'!$C$7:$C$1298,B72)</f>
        <v>412</v>
      </c>
      <c r="E72" s="252"/>
      <c r="F72" s="165">
        <f ca="1">COUNTIFS('PL1(Full)'!$C$7:$C$1298,B72)</f>
        <v>13</v>
      </c>
      <c r="G72" s="254"/>
      <c r="H72" s="252"/>
      <c r="I72" s="166"/>
      <c r="J72" s="166"/>
    </row>
    <row r="73" spans="1:10" ht="15.75">
      <c r="A73" s="252"/>
      <c r="B73" s="164" t="str">
        <f ca="1">IFERROR(__xludf.DUMMYFUNCTION("""COMPUTED_VALUE"""),"X. Kim Hỷ")</f>
        <v>X. Kim Hỷ</v>
      </c>
      <c r="C73" s="252"/>
      <c r="D73" s="165">
        <f ca="1">SUMIFS('PL1(Full)'!$I$7:$I$1298,'PL1(Full)'!$C$7:$C$1298,B73)</f>
        <v>412</v>
      </c>
      <c r="E73" s="252"/>
      <c r="F73" s="165">
        <f ca="1">COUNTIFS('PL1(Full)'!$C$7:$C$1298,B73)</f>
        <v>10</v>
      </c>
      <c r="G73" s="254"/>
      <c r="H73" s="252"/>
      <c r="I73" s="166"/>
      <c r="J73" s="166"/>
    </row>
    <row r="74" spans="1:10" ht="15.75">
      <c r="A74" s="252"/>
      <c r="B74" s="164" t="str">
        <f ca="1">IFERROR(__xludf.DUMMYFUNCTION("""COMPUTED_VALUE"""),"X. Kim Lư")</f>
        <v>X. Kim Lư</v>
      </c>
      <c r="C74" s="252"/>
      <c r="D74" s="165">
        <f ca="1">SUMIFS('PL1(Full)'!$I$7:$I$1298,'PL1(Full)'!$C$7:$C$1298,B74)</f>
        <v>628</v>
      </c>
      <c r="E74" s="252"/>
      <c r="F74" s="165">
        <f ca="1">COUNTIFS('PL1(Full)'!$C$7:$C$1298,B74)</f>
        <v>13</v>
      </c>
      <c r="G74" s="254"/>
      <c r="H74" s="252"/>
      <c r="I74" s="166"/>
      <c r="J74" s="166"/>
    </row>
    <row r="75" spans="1:10" ht="15.75">
      <c r="A75" s="252"/>
      <c r="B75" s="164" t="str">
        <f ca="1">IFERROR(__xludf.DUMMYFUNCTION("""COMPUTED_VALUE"""),"X. Liêm Thủy")</f>
        <v>X. Liêm Thủy</v>
      </c>
      <c r="C75" s="252"/>
      <c r="D75" s="165">
        <f ca="1">SUMIFS('PL1(Full)'!$I$7:$I$1298,'PL1(Full)'!$C$7:$C$1298,B75)</f>
        <v>311</v>
      </c>
      <c r="E75" s="252"/>
      <c r="F75" s="165">
        <f ca="1">COUNTIFS('PL1(Full)'!$C$7:$C$1298,B75)</f>
        <v>6</v>
      </c>
      <c r="G75" s="254"/>
      <c r="H75" s="252"/>
      <c r="I75" s="166"/>
      <c r="J75" s="166"/>
    </row>
    <row r="76" spans="1:10" ht="15.75">
      <c r="A76" s="252"/>
      <c r="B76" s="164" t="str">
        <f ca="1">IFERROR(__xludf.DUMMYFUNCTION("""COMPUTED_VALUE"""),"X. Lương Thượng")</f>
        <v>X. Lương Thượng</v>
      </c>
      <c r="C76" s="252"/>
      <c r="D76" s="165">
        <f ca="1">SUMIFS('PL1(Full)'!$I$7:$I$1298,'PL1(Full)'!$C$7:$C$1298,B76)</f>
        <v>475</v>
      </c>
      <c r="E76" s="252"/>
      <c r="F76" s="165">
        <f ca="1">COUNTIFS('PL1(Full)'!$C$7:$C$1298,B76)</f>
        <v>5</v>
      </c>
      <c r="G76" s="254"/>
      <c r="H76" s="252"/>
      <c r="I76" s="166"/>
      <c r="J76" s="166"/>
    </row>
    <row r="77" spans="1:10" ht="15.75">
      <c r="A77" s="252"/>
      <c r="B77" s="164" t="str">
        <f ca="1">IFERROR(__xludf.DUMMYFUNCTION("""COMPUTED_VALUE"""),"X. Quang Phong")</f>
        <v>X. Quang Phong</v>
      </c>
      <c r="C77" s="252"/>
      <c r="D77" s="165">
        <f ca="1">SUMIFS('PL1(Full)'!$I$7:$I$1298,'PL1(Full)'!$C$7:$C$1298,B77)</f>
        <v>396</v>
      </c>
      <c r="E77" s="252"/>
      <c r="F77" s="165">
        <f ca="1">COUNTIFS('PL1(Full)'!$C$7:$C$1298,B77)</f>
        <v>9</v>
      </c>
      <c r="G77" s="254"/>
      <c r="H77" s="252"/>
      <c r="I77" s="166"/>
      <c r="J77" s="166"/>
    </row>
    <row r="78" spans="1:10" ht="15.75">
      <c r="A78" s="252"/>
      <c r="B78" s="164" t="str">
        <f ca="1">IFERROR(__xludf.DUMMYFUNCTION("""COMPUTED_VALUE"""),"X. Sơn Thành")</f>
        <v>X. Sơn Thành</v>
      </c>
      <c r="C78" s="252"/>
      <c r="D78" s="165">
        <f ca="1">SUMIFS('PL1(Full)'!$I$7:$I$1298,'PL1(Full)'!$C$7:$C$1298,B78)</f>
        <v>770</v>
      </c>
      <c r="E78" s="252"/>
      <c r="F78" s="165">
        <f ca="1">COUNTIFS('PL1(Full)'!$C$7:$C$1298,B78)</f>
        <v>19</v>
      </c>
      <c r="G78" s="254"/>
      <c r="H78" s="252"/>
      <c r="I78" s="166"/>
      <c r="J78" s="166"/>
    </row>
    <row r="79" spans="1:10" ht="15.75">
      <c r="A79" s="252"/>
      <c r="B79" s="164" t="str">
        <f ca="1">IFERROR(__xludf.DUMMYFUNCTION("""COMPUTED_VALUE"""),"X. Trần Phú")</f>
        <v>X. Trần Phú</v>
      </c>
      <c r="C79" s="252"/>
      <c r="D79" s="165">
        <f ca="1">SUMIFS('PL1(Full)'!$I$7:$I$1298,'PL1(Full)'!$C$7:$C$1298,B79)</f>
        <v>737</v>
      </c>
      <c r="E79" s="252"/>
      <c r="F79" s="165">
        <f ca="1">COUNTIFS('PL1(Full)'!$C$7:$C$1298,B79)</f>
        <v>21</v>
      </c>
      <c r="G79" s="254"/>
      <c r="H79" s="252"/>
      <c r="I79" s="166"/>
      <c r="J79" s="166"/>
    </row>
    <row r="80" spans="1:10" ht="15.75">
      <c r="A80" s="252"/>
      <c r="B80" s="164" t="str">
        <f ca="1">IFERROR(__xludf.DUMMYFUNCTION("""COMPUTED_VALUE"""),"X. Văn Lang")</f>
        <v>X. Văn Lang</v>
      </c>
      <c r="C80" s="252"/>
      <c r="D80" s="165">
        <f ca="1">SUMIFS('PL1(Full)'!$I$7:$I$1298,'PL1(Full)'!$C$7:$C$1298,B80)</f>
        <v>736</v>
      </c>
      <c r="E80" s="252"/>
      <c r="F80" s="165">
        <f ca="1">COUNTIFS('PL1(Full)'!$C$7:$C$1298,B80)</f>
        <v>15</v>
      </c>
      <c r="G80" s="254"/>
      <c r="H80" s="252"/>
      <c r="I80" s="166"/>
      <c r="J80" s="166"/>
    </row>
    <row r="81" spans="1:10" ht="15.75">
      <c r="A81" s="252"/>
      <c r="B81" s="164" t="str">
        <f ca="1">IFERROR(__xludf.DUMMYFUNCTION("""COMPUTED_VALUE"""),"X. Văn Minh")</f>
        <v>X. Văn Minh</v>
      </c>
      <c r="C81" s="252"/>
      <c r="D81" s="165">
        <f ca="1">SUMIFS('PL1(Full)'!$I$7:$I$1298,'PL1(Full)'!$C$7:$C$1298,B81)</f>
        <v>302</v>
      </c>
      <c r="E81" s="252"/>
      <c r="F81" s="165">
        <f ca="1">COUNTIFS('PL1(Full)'!$C$7:$C$1298,B81)</f>
        <v>10</v>
      </c>
      <c r="G81" s="254"/>
      <c r="H81" s="252"/>
      <c r="I81" s="166"/>
      <c r="J81" s="166"/>
    </row>
    <row r="82" spans="1:10" ht="15.75">
      <c r="A82" s="252"/>
      <c r="B82" s="164" t="str">
        <f ca="1">IFERROR(__xludf.DUMMYFUNCTION("""COMPUTED_VALUE"""),"X. Văn Vũ")</f>
        <v>X. Văn Vũ</v>
      </c>
      <c r="C82" s="252"/>
      <c r="D82" s="165">
        <f ca="1">SUMIFS('PL1(Full)'!$I$7:$I$1298,'PL1(Full)'!$C$7:$C$1298,B82)</f>
        <v>663</v>
      </c>
      <c r="E82" s="252"/>
      <c r="F82" s="165">
        <f ca="1">COUNTIFS('PL1(Full)'!$C$7:$C$1298,B82)</f>
        <v>22</v>
      </c>
      <c r="G82" s="254"/>
      <c r="H82" s="252"/>
      <c r="I82" s="166"/>
      <c r="J82" s="166"/>
    </row>
    <row r="83" spans="1:10" ht="15.75">
      <c r="A83" s="238"/>
      <c r="B83" s="164" t="str">
        <f ca="1">IFERROR(__xludf.DUMMYFUNCTION("""COMPUTED_VALUE"""),"X. Xuân Dương")</f>
        <v>X. Xuân Dương</v>
      </c>
      <c r="C83" s="238"/>
      <c r="D83" s="165">
        <f ca="1">SUMIFS('PL1(Full)'!$I$7:$I$1298,'PL1(Full)'!$C$7:$C$1298,B83)</f>
        <v>541</v>
      </c>
      <c r="E83" s="238"/>
      <c r="F83" s="165">
        <f ca="1">COUNTIFS('PL1(Full)'!$C$7:$C$1298,B83)</f>
        <v>9</v>
      </c>
      <c r="G83" s="255"/>
      <c r="H83" s="238"/>
      <c r="I83" s="166"/>
      <c r="J83" s="166"/>
    </row>
    <row r="84" spans="1:10" ht="15.75">
      <c r="A84" s="257" t="s">
        <v>1001</v>
      </c>
      <c r="B84" s="164" t="str">
        <f ca="1">IFERROR(__xludf.DUMMYFUNCTION("""COMPUTED_VALUE"""),"TT. Vân Tùng")</f>
        <v>TT. Vân Tùng</v>
      </c>
      <c r="C84" s="251">
        <f>SUMIFS('PL1(Full)'!$I$7:$I$1298,'PL1(Full)'!$B$7:$B$1298,A84)</f>
        <v>7535</v>
      </c>
      <c r="D84" s="165">
        <f ca="1">SUMIFS('PL1(Full)'!$I$7:$I$1298,'PL1(Full)'!$C$7:$C$1298,B84)</f>
        <v>892</v>
      </c>
      <c r="E84" s="251">
        <f>COUNTIFS('PL1(Full)'!$B$7:$B$1298,A84)</f>
        <v>142</v>
      </c>
      <c r="F84" s="165">
        <f ca="1">COUNTIFS('PL1(Full)'!$C$7:$C$1298,B84)</f>
        <v>8</v>
      </c>
      <c r="G84" s="253" t="s">
        <v>1330</v>
      </c>
      <c r="H84" s="251">
        <v>118</v>
      </c>
      <c r="I84" s="166"/>
      <c r="J84" s="166"/>
    </row>
    <row r="85" spans="1:10" ht="15.75">
      <c r="A85" s="252"/>
      <c r="B85" s="164" t="str">
        <f ca="1">IFERROR(__xludf.DUMMYFUNCTION("""COMPUTED_VALUE"""),"TT. Nà Phặc")</f>
        <v>TT. Nà Phặc</v>
      </c>
      <c r="C85" s="252"/>
      <c r="D85" s="165">
        <f ca="1">SUMIFS('PL1(Full)'!$I$7:$I$1298,'PL1(Full)'!$C$7:$C$1298,B85)</f>
        <v>1709</v>
      </c>
      <c r="E85" s="252"/>
      <c r="F85" s="165">
        <f ca="1">COUNTIFS('PL1(Full)'!$C$7:$C$1298,B85)</f>
        <v>22</v>
      </c>
      <c r="G85" s="254"/>
      <c r="H85" s="252"/>
      <c r="I85" s="166"/>
      <c r="J85" s="166"/>
    </row>
    <row r="86" spans="1:10" ht="15.75">
      <c r="A86" s="252"/>
      <c r="B86" s="164" t="str">
        <f ca="1">IFERROR(__xludf.DUMMYFUNCTION("""COMPUTED_VALUE"""),"X. Bằng Vân")</f>
        <v>X. Bằng Vân</v>
      </c>
      <c r="C86" s="252"/>
      <c r="D86" s="165">
        <f ca="1">SUMIFS('PL1(Full)'!$I$7:$I$1298,'PL1(Full)'!$C$7:$C$1298,B86)</f>
        <v>751</v>
      </c>
      <c r="E86" s="252"/>
      <c r="F86" s="165">
        <f ca="1">COUNTIFS('PL1(Full)'!$C$7:$C$1298,B86)</f>
        <v>14</v>
      </c>
      <c r="G86" s="254"/>
      <c r="H86" s="252"/>
      <c r="I86" s="166"/>
      <c r="J86" s="166"/>
    </row>
    <row r="87" spans="1:10" ht="15.75">
      <c r="A87" s="252"/>
      <c r="B87" s="164" t="str">
        <f ca="1">IFERROR(__xludf.DUMMYFUNCTION("""COMPUTED_VALUE"""),"X. Cốc Đán")</f>
        <v>X. Cốc Đán</v>
      </c>
      <c r="C87" s="252"/>
      <c r="D87" s="165">
        <f ca="1">SUMIFS('PL1(Full)'!$I$7:$I$1298,'PL1(Full)'!$C$7:$C$1298,B87)</f>
        <v>619</v>
      </c>
      <c r="E87" s="252"/>
      <c r="F87" s="165">
        <f ca="1">COUNTIFS('PL1(Full)'!$C$7:$C$1298,B87)</f>
        <v>21</v>
      </c>
      <c r="G87" s="254"/>
      <c r="H87" s="252"/>
      <c r="I87" s="166"/>
      <c r="J87" s="166"/>
    </row>
    <row r="88" spans="1:10" ht="15.75">
      <c r="A88" s="252"/>
      <c r="B88" s="164" t="str">
        <f ca="1">IFERROR(__xludf.DUMMYFUNCTION("""COMPUTED_VALUE"""),"X. Đức Vân")</f>
        <v>X. Đức Vân</v>
      </c>
      <c r="C88" s="252"/>
      <c r="D88" s="165">
        <f ca="1">SUMIFS('PL1(Full)'!$I$7:$I$1298,'PL1(Full)'!$C$7:$C$1298,B88)</f>
        <v>391</v>
      </c>
      <c r="E88" s="252"/>
      <c r="F88" s="165">
        <f ca="1">COUNTIFS('PL1(Full)'!$C$7:$C$1298,B88)</f>
        <v>8</v>
      </c>
      <c r="G88" s="254"/>
      <c r="H88" s="252"/>
      <c r="I88" s="166"/>
      <c r="J88" s="166"/>
    </row>
    <row r="89" spans="1:10" ht="15.75">
      <c r="A89" s="252"/>
      <c r="B89" s="164" t="str">
        <f ca="1">IFERROR(__xludf.DUMMYFUNCTION("""COMPUTED_VALUE"""),"X. Hiệp Lực")</f>
        <v>X. Hiệp Lực</v>
      </c>
      <c r="C89" s="252"/>
      <c r="D89" s="165">
        <f ca="1">SUMIFS('PL1(Full)'!$I$7:$I$1298,'PL1(Full)'!$C$7:$C$1298,B89)</f>
        <v>1006</v>
      </c>
      <c r="E89" s="252"/>
      <c r="F89" s="165">
        <f ca="1">COUNTIFS('PL1(Full)'!$C$7:$C$1298,B89)</f>
        <v>12</v>
      </c>
      <c r="G89" s="254"/>
      <c r="H89" s="252"/>
      <c r="I89" s="166"/>
      <c r="J89" s="166"/>
    </row>
    <row r="90" spans="1:10" ht="15.75">
      <c r="A90" s="252"/>
      <c r="B90" s="164" t="str">
        <f ca="1">IFERROR(__xludf.DUMMYFUNCTION("""COMPUTED_VALUE"""),"X. Thuần Mang")</f>
        <v>X. Thuần Mang</v>
      </c>
      <c r="C90" s="252"/>
      <c r="D90" s="165">
        <f ca="1">SUMIFS('PL1(Full)'!$I$7:$I$1298,'PL1(Full)'!$C$7:$C$1298,B90)</f>
        <v>589</v>
      </c>
      <c r="E90" s="252"/>
      <c r="F90" s="165">
        <f ca="1">COUNTIFS('PL1(Full)'!$C$7:$C$1298,B90)</f>
        <v>17</v>
      </c>
      <c r="G90" s="254"/>
      <c r="H90" s="252"/>
      <c r="I90" s="166"/>
      <c r="J90" s="166"/>
    </row>
    <row r="91" spans="1:10" ht="15.75">
      <c r="A91" s="252"/>
      <c r="B91" s="164" t="str">
        <f ca="1">IFERROR(__xludf.DUMMYFUNCTION("""COMPUTED_VALUE"""),"X. Thượng Ân")</f>
        <v>X. Thượng Ân</v>
      </c>
      <c r="C91" s="252"/>
      <c r="D91" s="165">
        <f ca="1">SUMIFS('PL1(Full)'!$I$7:$I$1298,'PL1(Full)'!$C$7:$C$1298,B91)</f>
        <v>475</v>
      </c>
      <c r="E91" s="252"/>
      <c r="F91" s="165">
        <f ca="1">COUNTIFS('PL1(Full)'!$C$7:$C$1298,B91)</f>
        <v>17</v>
      </c>
      <c r="G91" s="254"/>
      <c r="H91" s="252"/>
      <c r="I91" s="166"/>
      <c r="J91" s="166"/>
    </row>
    <row r="92" spans="1:10" ht="15.75">
      <c r="A92" s="252"/>
      <c r="B92" s="164" t="str">
        <f ca="1">IFERROR(__xludf.DUMMYFUNCTION("""COMPUTED_VALUE"""),"X. Thượng Quan")</f>
        <v>X. Thượng Quan</v>
      </c>
      <c r="C92" s="252"/>
      <c r="D92" s="165">
        <f ca="1">SUMIFS('PL1(Full)'!$I$7:$I$1298,'PL1(Full)'!$C$7:$C$1298,B92)</f>
        <v>757</v>
      </c>
      <c r="E92" s="252"/>
      <c r="F92" s="165">
        <f ca="1">COUNTIFS('PL1(Full)'!$C$7:$C$1298,B92)</f>
        <v>15</v>
      </c>
      <c r="G92" s="254"/>
      <c r="H92" s="252"/>
      <c r="I92" s="166"/>
      <c r="J92" s="166"/>
    </row>
    <row r="93" spans="1:10" ht="15.75">
      <c r="A93" s="238"/>
      <c r="B93" s="164" t="str">
        <f ca="1">IFERROR(__xludf.DUMMYFUNCTION("""COMPUTED_VALUE"""),"X. Trung Hòa")</f>
        <v>X. Trung Hòa</v>
      </c>
      <c r="C93" s="238"/>
      <c r="D93" s="165">
        <f ca="1">SUMIFS('PL1(Full)'!$I$7:$I$1298,'PL1(Full)'!$C$7:$C$1298,B93)</f>
        <v>346</v>
      </c>
      <c r="E93" s="238"/>
      <c r="F93" s="165">
        <f ca="1">COUNTIFS('PL1(Full)'!$C$7:$C$1298,B93)</f>
        <v>8</v>
      </c>
      <c r="G93" s="255"/>
      <c r="H93" s="238"/>
      <c r="I93" s="166"/>
      <c r="J93" s="166"/>
    </row>
    <row r="94" spans="1:10" ht="15.75">
      <c r="A94" s="257" t="s">
        <v>1130</v>
      </c>
      <c r="B94" s="164" t="str">
        <f ca="1">IFERROR(__xludf.DUMMYFUNCTION("""COMPUTED_VALUE"""),"X. An Thắng")</f>
        <v>X. An Thắng</v>
      </c>
      <c r="C94" s="251">
        <f>SUMIFS('PL1(Full)'!$I$7:$I$1298,'PL1(Full)'!$B$7:$B$1298,A94)</f>
        <v>7664</v>
      </c>
      <c r="D94" s="165">
        <f ca="1">SUMIFS('PL1(Full)'!$I$7:$I$1298,'PL1(Full)'!$C$7:$C$1298,B94)</f>
        <v>294</v>
      </c>
      <c r="E94" s="251">
        <f>COUNTIFS('PL1(Full)'!$B$7:$B$1298,A94)</f>
        <v>113</v>
      </c>
      <c r="F94" s="165">
        <f ca="1">COUNTIFS('PL1(Full)'!$C$7:$C$1298,B94)</f>
        <v>7</v>
      </c>
      <c r="G94" s="253" t="s">
        <v>1331</v>
      </c>
      <c r="H94" s="251">
        <v>76</v>
      </c>
      <c r="I94" s="166"/>
      <c r="J94" s="166"/>
    </row>
    <row r="95" spans="1:10" ht="15.75">
      <c r="A95" s="252"/>
      <c r="B95" s="164" t="str">
        <f ca="1">IFERROR(__xludf.DUMMYFUNCTION("""COMPUTED_VALUE"""),"X. Bằng Thành")</f>
        <v>X. Bằng Thành</v>
      </c>
      <c r="C95" s="252"/>
      <c r="D95" s="165">
        <f ca="1">SUMIFS('PL1(Full)'!$I$7:$I$1298,'PL1(Full)'!$C$7:$C$1298,B95)</f>
        <v>792</v>
      </c>
      <c r="E95" s="252"/>
      <c r="F95" s="165">
        <f ca="1">COUNTIFS('PL1(Full)'!$C$7:$C$1298,B95)</f>
        <v>16</v>
      </c>
      <c r="G95" s="254"/>
      <c r="H95" s="252"/>
      <c r="I95" s="166"/>
      <c r="J95" s="166"/>
    </row>
    <row r="96" spans="1:10" ht="15.75">
      <c r="A96" s="252"/>
      <c r="B96" s="164" t="str">
        <f ca="1">IFERROR(__xludf.DUMMYFUNCTION("""COMPUTED_VALUE"""),"X. Bộc Bố")</f>
        <v>X. Bộc Bố</v>
      </c>
      <c r="C96" s="252"/>
      <c r="D96" s="165">
        <f ca="1">SUMIFS('PL1(Full)'!$I$7:$I$1298,'PL1(Full)'!$C$7:$C$1298,B96)</f>
        <v>1119</v>
      </c>
      <c r="E96" s="252"/>
      <c r="F96" s="165">
        <f ca="1">COUNTIFS('PL1(Full)'!$C$7:$C$1298,B96)</f>
        <v>15</v>
      </c>
      <c r="G96" s="254"/>
      <c r="H96" s="252"/>
      <c r="I96" s="166"/>
      <c r="J96" s="166"/>
    </row>
    <row r="97" spans="1:10" ht="15.75">
      <c r="A97" s="252"/>
      <c r="B97" s="164" t="str">
        <f ca="1">IFERROR(__xludf.DUMMYFUNCTION("""COMPUTED_VALUE"""),"X. Cao Tân")</f>
        <v>X. Cao Tân</v>
      </c>
      <c r="C97" s="252"/>
      <c r="D97" s="165">
        <f ca="1">SUMIFS('PL1(Full)'!$I$7:$I$1298,'PL1(Full)'!$C$7:$C$1298,B97)</f>
        <v>901</v>
      </c>
      <c r="E97" s="252"/>
      <c r="F97" s="165">
        <f ca="1">COUNTIFS('PL1(Full)'!$C$7:$C$1298,B97)</f>
        <v>14</v>
      </c>
      <c r="G97" s="254"/>
      <c r="H97" s="252"/>
      <c r="I97" s="166"/>
      <c r="J97" s="166"/>
    </row>
    <row r="98" spans="1:10" ht="15.75">
      <c r="A98" s="252"/>
      <c r="B98" s="164" t="str">
        <f ca="1">IFERROR(__xludf.DUMMYFUNCTION("""COMPUTED_VALUE"""),"X. Cổ Linh")</f>
        <v>X. Cổ Linh</v>
      </c>
      <c r="C98" s="252"/>
      <c r="D98" s="165">
        <f ca="1">SUMIFS('PL1(Full)'!$I$7:$I$1298,'PL1(Full)'!$C$7:$C$1298,B98)</f>
        <v>963</v>
      </c>
      <c r="E98" s="252"/>
      <c r="F98" s="165">
        <f ca="1">COUNTIFS('PL1(Full)'!$C$7:$C$1298,B98)</f>
        <v>12</v>
      </c>
      <c r="G98" s="254"/>
      <c r="H98" s="252"/>
      <c r="I98" s="166"/>
      <c r="J98" s="166"/>
    </row>
    <row r="99" spans="1:10" ht="15.75">
      <c r="A99" s="252"/>
      <c r="B99" s="164" t="str">
        <f ca="1">IFERROR(__xludf.DUMMYFUNCTION("""COMPUTED_VALUE"""),"X. Công Bằng")</f>
        <v>X. Công Bằng</v>
      </c>
      <c r="C99" s="252"/>
      <c r="D99" s="165">
        <f ca="1">SUMIFS('PL1(Full)'!$I$7:$I$1298,'PL1(Full)'!$C$7:$C$1298,B99)</f>
        <v>711</v>
      </c>
      <c r="E99" s="252"/>
      <c r="F99" s="165">
        <f ca="1">COUNTIFS('PL1(Full)'!$C$7:$C$1298,B99)</f>
        <v>9</v>
      </c>
      <c r="G99" s="254"/>
      <c r="H99" s="252"/>
      <c r="I99" s="166"/>
      <c r="J99" s="166"/>
    </row>
    <row r="100" spans="1:10" ht="15.75">
      <c r="A100" s="252"/>
      <c r="B100" s="164" t="str">
        <f ca="1">IFERROR(__xludf.DUMMYFUNCTION("""COMPUTED_VALUE"""),"X. Giáo Hiệu")</f>
        <v>X. Giáo Hiệu</v>
      </c>
      <c r="C100" s="252"/>
      <c r="D100" s="165">
        <f ca="1">SUMIFS('PL1(Full)'!$I$7:$I$1298,'PL1(Full)'!$C$7:$C$1298,B100)</f>
        <v>440</v>
      </c>
      <c r="E100" s="252"/>
      <c r="F100" s="165">
        <f ca="1">COUNTIFS('PL1(Full)'!$C$7:$C$1298,B100)</f>
        <v>8</v>
      </c>
      <c r="G100" s="254"/>
      <c r="H100" s="252"/>
      <c r="I100" s="166"/>
      <c r="J100" s="166"/>
    </row>
    <row r="101" spans="1:10" ht="15.75">
      <c r="A101" s="252"/>
      <c r="B101" s="164" t="str">
        <f ca="1">IFERROR(__xludf.DUMMYFUNCTION("""COMPUTED_VALUE"""),"X. Nghiên Loan")</f>
        <v>X. Nghiên Loan</v>
      </c>
      <c r="C101" s="252"/>
      <c r="D101" s="165">
        <f ca="1">SUMIFS('PL1(Full)'!$I$7:$I$1298,'PL1(Full)'!$C$7:$C$1298,B101)</f>
        <v>1324</v>
      </c>
      <c r="E101" s="252"/>
      <c r="F101" s="165">
        <f ca="1">COUNTIFS('PL1(Full)'!$C$7:$C$1298,B101)</f>
        <v>15</v>
      </c>
      <c r="G101" s="254"/>
      <c r="H101" s="252"/>
      <c r="I101" s="166"/>
      <c r="J101" s="166"/>
    </row>
    <row r="102" spans="1:10" ht="15.75">
      <c r="A102" s="252"/>
      <c r="B102" s="164" t="str">
        <f ca="1">IFERROR(__xludf.DUMMYFUNCTION("""COMPUTED_VALUE"""),"X. Nhạn Môn")</f>
        <v>X. Nhạn Môn</v>
      </c>
      <c r="C102" s="252"/>
      <c r="D102" s="165">
        <f ca="1">SUMIFS('PL1(Full)'!$I$7:$I$1298,'PL1(Full)'!$C$7:$C$1298,B102)</f>
        <v>487</v>
      </c>
      <c r="E102" s="252"/>
      <c r="F102" s="165">
        <f ca="1">COUNTIFS('PL1(Full)'!$C$7:$C$1298,B102)</f>
        <v>8</v>
      </c>
      <c r="G102" s="254"/>
      <c r="H102" s="252"/>
      <c r="I102" s="166"/>
      <c r="J102" s="166"/>
    </row>
    <row r="103" spans="1:10" ht="15.75">
      <c r="A103" s="238"/>
      <c r="B103" s="164" t="str">
        <f ca="1">IFERROR(__xludf.DUMMYFUNCTION("""COMPUTED_VALUE"""),"X. Xuân La")</f>
        <v>X. Xuân La</v>
      </c>
      <c r="C103" s="238"/>
      <c r="D103" s="165">
        <f ca="1">SUMIFS('PL1(Full)'!$I$7:$I$1298,'PL1(Full)'!$C$7:$C$1298,B103)</f>
        <v>633</v>
      </c>
      <c r="E103" s="238"/>
      <c r="F103" s="165">
        <f ca="1">COUNTIFS('PL1(Full)'!$C$7:$C$1298,B103)</f>
        <v>9</v>
      </c>
      <c r="G103" s="255"/>
      <c r="H103" s="238"/>
      <c r="I103" s="166"/>
      <c r="J103" s="166"/>
    </row>
    <row r="104" spans="1:10" ht="15.75">
      <c r="A104" s="257" t="s">
        <v>1240</v>
      </c>
      <c r="B104" s="164" t="str">
        <f ca="1">IFERROR(__xludf.DUMMYFUNCTION("""COMPUTED_VALUE"""),"P. Đức Xuân")</f>
        <v>P. Đức Xuân</v>
      </c>
      <c r="C104" s="251">
        <f>SUMIFS('PL1(Full)'!$I$7:$I$1298,'PL1(Full)'!$B$7:$B$1298,A104)</f>
        <v>12395</v>
      </c>
      <c r="D104" s="165">
        <f ca="1">SUMIFS('PL1(Full)'!$I$7:$I$1298,'PL1(Full)'!$C$7:$C$1298,B104)</f>
        <v>2509</v>
      </c>
      <c r="E104" s="251">
        <f>COUNTIFS('PL1(Full)'!$B$7:$B$1298,A104)</f>
        <v>117</v>
      </c>
      <c r="F104" s="165">
        <f ca="1">COUNTIFS('PL1(Full)'!$C$7:$C$1298,B104)</f>
        <v>18</v>
      </c>
      <c r="G104" s="253" t="s">
        <v>1332</v>
      </c>
      <c r="H104" s="251">
        <v>60</v>
      </c>
      <c r="I104" s="166"/>
      <c r="J104" s="166"/>
    </row>
    <row r="105" spans="1:10" ht="15.75">
      <c r="A105" s="252"/>
      <c r="B105" s="164" t="str">
        <f ca="1">IFERROR(__xludf.DUMMYFUNCTION("""COMPUTED_VALUE"""),"P. Huyền Tụng")</f>
        <v>P. Huyền Tụng</v>
      </c>
      <c r="C105" s="252"/>
      <c r="D105" s="165">
        <f ca="1">SUMIFS('PL1(Full)'!$I$7:$I$1298,'PL1(Full)'!$C$7:$C$1298,B105)</f>
        <v>1375</v>
      </c>
      <c r="E105" s="252"/>
      <c r="F105" s="165">
        <f ca="1">COUNTIFS('PL1(Full)'!$C$7:$C$1298,B105)</f>
        <v>18</v>
      </c>
      <c r="G105" s="254"/>
      <c r="H105" s="252"/>
      <c r="I105" s="166"/>
      <c r="J105" s="166"/>
    </row>
    <row r="106" spans="1:10" ht="15.75">
      <c r="A106" s="252"/>
      <c r="B106" s="164" t="str">
        <f ca="1">IFERROR(__xludf.DUMMYFUNCTION("""COMPUTED_VALUE"""),"P. NT Minh Khai")</f>
        <v>P. NT Minh Khai</v>
      </c>
      <c r="C106" s="252"/>
      <c r="D106" s="165">
        <f ca="1">SUMIFS('PL1(Full)'!$I$7:$I$1298,'PL1(Full)'!$C$7:$C$1298,B106)</f>
        <v>1512</v>
      </c>
      <c r="E106" s="252"/>
      <c r="F106" s="165">
        <f ca="1">COUNTIFS('PL1(Full)'!$C$7:$C$1298,B106)</f>
        <v>17</v>
      </c>
      <c r="G106" s="254"/>
      <c r="H106" s="252"/>
      <c r="I106" s="166"/>
      <c r="J106" s="166"/>
    </row>
    <row r="107" spans="1:10" ht="15.75">
      <c r="A107" s="252"/>
      <c r="B107" s="164" t="str">
        <f ca="1">IFERROR(__xludf.DUMMYFUNCTION("""COMPUTED_VALUE"""),"P. Phùng Chí Kiên")</f>
        <v>P. Phùng Chí Kiên</v>
      </c>
      <c r="C107" s="252"/>
      <c r="D107" s="165">
        <f ca="1">SUMIFS('PL1(Full)'!$I$7:$I$1298,'PL1(Full)'!$C$7:$C$1298,B107)</f>
        <v>2047</v>
      </c>
      <c r="E107" s="252"/>
      <c r="F107" s="165">
        <f ca="1">COUNTIFS('PL1(Full)'!$C$7:$C$1298,B107)</f>
        <v>12</v>
      </c>
      <c r="G107" s="254"/>
      <c r="H107" s="252"/>
      <c r="I107" s="166"/>
      <c r="J107" s="166"/>
    </row>
    <row r="108" spans="1:10" ht="15.75">
      <c r="A108" s="252"/>
      <c r="B108" s="164" t="str">
        <f ca="1">IFERROR(__xludf.DUMMYFUNCTION("""COMPUTED_VALUE"""),"P. Sông Cầu")</f>
        <v>P. Sông Cầu</v>
      </c>
      <c r="C108" s="252"/>
      <c r="D108" s="165">
        <f ca="1">SUMIFS('PL1(Full)'!$I$7:$I$1298,'PL1(Full)'!$C$7:$C$1298,B108)</f>
        <v>2347</v>
      </c>
      <c r="E108" s="252"/>
      <c r="F108" s="165">
        <f ca="1">COUNTIFS('PL1(Full)'!$C$7:$C$1298,B108)</f>
        <v>21</v>
      </c>
      <c r="G108" s="254"/>
      <c r="H108" s="252"/>
      <c r="I108" s="166"/>
      <c r="J108" s="166"/>
    </row>
    <row r="109" spans="1:10" ht="15.75">
      <c r="A109" s="252"/>
      <c r="B109" s="164" t="str">
        <f ca="1">IFERROR(__xludf.DUMMYFUNCTION("""COMPUTED_VALUE"""),"P. Xuất Hóa")</f>
        <v>P. Xuất Hóa</v>
      </c>
      <c r="C109" s="252"/>
      <c r="D109" s="165">
        <f ca="1">SUMIFS('PL1(Full)'!$I$7:$I$1298,'PL1(Full)'!$C$7:$C$1298,B109)</f>
        <v>827</v>
      </c>
      <c r="E109" s="252"/>
      <c r="F109" s="165">
        <f ca="1">COUNTIFS('PL1(Full)'!$C$7:$C$1298,B109)</f>
        <v>7</v>
      </c>
      <c r="G109" s="254"/>
      <c r="H109" s="252"/>
      <c r="I109" s="166"/>
      <c r="J109" s="166"/>
    </row>
    <row r="110" spans="1:10" ht="15.75">
      <c r="A110" s="252"/>
      <c r="B110" s="164" t="str">
        <f ca="1">IFERROR(__xludf.DUMMYFUNCTION("""COMPUTED_VALUE"""),"X. Dương Quang")</f>
        <v>X. Dương Quang</v>
      </c>
      <c r="C110" s="252"/>
      <c r="D110" s="165">
        <f ca="1">SUMIFS('PL1(Full)'!$I$7:$I$1298,'PL1(Full)'!$C$7:$C$1298,B110)</f>
        <v>862</v>
      </c>
      <c r="E110" s="252"/>
      <c r="F110" s="165">
        <f ca="1">COUNTIFS('PL1(Full)'!$C$7:$C$1298,B110)</f>
        <v>9</v>
      </c>
      <c r="G110" s="254"/>
      <c r="H110" s="252"/>
      <c r="I110" s="166"/>
      <c r="J110" s="166"/>
    </row>
    <row r="111" spans="1:10" ht="15.75">
      <c r="A111" s="238"/>
      <c r="B111" s="164" t="str">
        <f ca="1">IFERROR(__xludf.DUMMYFUNCTION("""COMPUTED_VALUE"""),"X. Nông Thượng")</f>
        <v>X. Nông Thượng</v>
      </c>
      <c r="C111" s="238"/>
      <c r="D111" s="165">
        <f ca="1">SUMIFS('PL1(Full)'!$I$7:$I$1298,'PL1(Full)'!$C$7:$C$1298,B111)</f>
        <v>916</v>
      </c>
      <c r="E111" s="238"/>
      <c r="F111" s="165">
        <f ca="1">COUNTIFS('PL1(Full)'!$C$7:$C$1298,B111)</f>
        <v>15</v>
      </c>
      <c r="G111" s="255"/>
      <c r="H111" s="238"/>
      <c r="I111" s="166"/>
      <c r="J111" s="166"/>
    </row>
    <row r="112" spans="1:10" ht="47.25">
      <c r="A112" s="260" t="s">
        <v>1333</v>
      </c>
      <c r="B112" s="249"/>
      <c r="C112" s="169">
        <f t="shared" ref="C112:F112" si="0">SUM(C4:C111)</f>
        <v>82637</v>
      </c>
      <c r="D112" s="169">
        <f t="shared" ca="1" si="0"/>
        <v>82637</v>
      </c>
      <c r="E112" s="169">
        <f t="shared" si="0"/>
        <v>1292</v>
      </c>
      <c r="F112" s="169">
        <f t="shared" ca="1" si="0"/>
        <v>1292</v>
      </c>
      <c r="G112" s="228" t="s">
        <v>1334</v>
      </c>
      <c r="H112" s="169">
        <f>SUM(H4:H111)</f>
        <v>947</v>
      </c>
      <c r="I112" s="170"/>
      <c r="J112" s="170"/>
    </row>
    <row r="113" spans="1:10" ht="27" customHeight="1">
      <c r="A113" s="256" t="s">
        <v>1335</v>
      </c>
      <c r="B113" s="243"/>
      <c r="C113" s="243"/>
      <c r="D113" s="243"/>
      <c r="E113" s="243"/>
      <c r="F113" s="243"/>
      <c r="G113" s="243"/>
      <c r="H113" s="243"/>
      <c r="I113" s="166"/>
      <c r="J113" s="166"/>
    </row>
    <row r="114" spans="1:10" ht="15.75">
      <c r="A114" s="166"/>
      <c r="B114" s="166"/>
      <c r="C114" s="166"/>
      <c r="D114" s="166"/>
      <c r="E114" s="166"/>
      <c r="F114" s="166"/>
      <c r="G114" s="166"/>
      <c r="H114" s="166"/>
      <c r="I114" s="166"/>
      <c r="J114" s="166"/>
    </row>
    <row r="115" spans="1:10" ht="15.75">
      <c r="A115" s="166"/>
      <c r="B115" s="166"/>
      <c r="C115" s="166"/>
      <c r="D115" s="166"/>
      <c r="E115" s="166"/>
      <c r="F115" s="166"/>
      <c r="G115" s="166"/>
      <c r="H115" s="166"/>
      <c r="I115" s="166"/>
      <c r="J115" s="166"/>
    </row>
    <row r="116" spans="1:10" ht="15.75">
      <c r="A116" s="166"/>
      <c r="B116" s="166"/>
      <c r="C116" s="166"/>
      <c r="D116" s="166"/>
      <c r="E116" s="166"/>
      <c r="F116" s="166"/>
      <c r="G116" s="166"/>
      <c r="H116" s="166"/>
      <c r="I116" s="166"/>
      <c r="J116" s="166"/>
    </row>
    <row r="117" spans="1:10" ht="15.75">
      <c r="A117" s="166"/>
      <c r="B117" s="166"/>
      <c r="C117" s="166"/>
      <c r="D117" s="166"/>
      <c r="E117" s="166"/>
      <c r="F117" s="166"/>
      <c r="G117" s="166"/>
      <c r="H117" s="166"/>
      <c r="I117" s="166"/>
      <c r="J117" s="166"/>
    </row>
    <row r="118" spans="1:10" ht="15.75">
      <c r="A118" s="166"/>
      <c r="B118" s="166"/>
      <c r="C118" s="166"/>
      <c r="D118" s="166"/>
      <c r="E118" s="166"/>
      <c r="F118" s="166"/>
      <c r="G118" s="166"/>
      <c r="H118" s="166"/>
      <c r="I118" s="166"/>
      <c r="J118" s="166"/>
    </row>
  </sheetData>
  <autoFilter ref="A3:F112" xr:uid="{00000000-0009-0000-0000-000001000000}"/>
  <mergeCells count="44">
    <mergeCell ref="A2:H2"/>
    <mergeCell ref="A1:B1"/>
    <mergeCell ref="G94:G103"/>
    <mergeCell ref="G104:G111"/>
    <mergeCell ref="A112:B112"/>
    <mergeCell ref="G19:G32"/>
    <mergeCell ref="G67:G83"/>
    <mergeCell ref="G84:G93"/>
    <mergeCell ref="A104:A111"/>
    <mergeCell ref="A4:A18"/>
    <mergeCell ref="E4:E18"/>
    <mergeCell ref="A19:A32"/>
    <mergeCell ref="A33:A52"/>
    <mergeCell ref="A53:A66"/>
    <mergeCell ref="C53:C66"/>
    <mergeCell ref="H67:H83"/>
    <mergeCell ref="A113:H113"/>
    <mergeCell ref="C33:C52"/>
    <mergeCell ref="C4:C18"/>
    <mergeCell ref="C19:C32"/>
    <mergeCell ref="C67:C83"/>
    <mergeCell ref="C84:C93"/>
    <mergeCell ref="C94:C103"/>
    <mergeCell ref="C104:C111"/>
    <mergeCell ref="A67:A83"/>
    <mergeCell ref="E67:E83"/>
    <mergeCell ref="A84:A93"/>
    <mergeCell ref="E84:E93"/>
    <mergeCell ref="A94:A103"/>
    <mergeCell ref="E94:E103"/>
    <mergeCell ref="E104:E111"/>
    <mergeCell ref="G4:G18"/>
    <mergeCell ref="H84:H93"/>
    <mergeCell ref="H94:H103"/>
    <mergeCell ref="H104:H111"/>
    <mergeCell ref="H4:H18"/>
    <mergeCell ref="E33:E52"/>
    <mergeCell ref="E53:E66"/>
    <mergeCell ref="H33:H52"/>
    <mergeCell ref="H53:H66"/>
    <mergeCell ref="H19:H32"/>
    <mergeCell ref="E19:E32"/>
    <mergeCell ref="G33:G52"/>
    <mergeCell ref="G53:G66"/>
  </mergeCells>
  <pageMargins left="0.31496062992125984" right="0.23622047244094491" top="0.70866141732283472" bottom="0.41" header="0.39" footer="0"/>
  <pageSetup paperSize="9" scale="87" fitToHeight="0" orientation="portrait" r:id="rId1"/>
  <rowBreaks count="1" manualBreakCount="1">
    <brk id="103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FF"/>
    <pageSetUpPr fitToPage="1"/>
  </sheetPr>
  <dimension ref="A1:Q55"/>
  <sheetViews>
    <sheetView workbookViewId="0">
      <pane ySplit="7" topLeftCell="A8" activePane="bottomLeft" state="frozen"/>
      <selection pane="bottomLeft" activeCell="B9" sqref="B9"/>
    </sheetView>
  </sheetViews>
  <sheetFormatPr defaultColWidth="11.25" defaultRowHeight="15" customHeight="1"/>
  <cols>
    <col min="1" max="1" width="5.625" customWidth="1"/>
    <col min="2" max="2" width="19.375" customWidth="1"/>
    <col min="3" max="6" width="5.875" customWidth="1"/>
    <col min="7" max="7" width="15.375" customWidth="1"/>
    <col min="8" max="8" width="12.625" customWidth="1"/>
    <col min="9" max="9" width="7.5" customWidth="1"/>
    <col min="10" max="10" width="16" customWidth="1"/>
    <col min="11" max="11" width="16.875" customWidth="1"/>
    <col min="12" max="14" width="6.25" customWidth="1"/>
    <col min="15" max="16" width="8.5" customWidth="1"/>
    <col min="17" max="17" width="7.875" customWidth="1"/>
  </cols>
  <sheetData>
    <row r="1" spans="1:17" ht="15.75" customHeight="1">
      <c r="A1" s="2"/>
      <c r="B1" s="176" t="s">
        <v>0</v>
      </c>
      <c r="C1" s="2"/>
      <c r="D1" s="2"/>
      <c r="E1" s="2"/>
      <c r="F1" s="2"/>
      <c r="G1" s="2"/>
      <c r="H1" s="2"/>
      <c r="I1" s="2"/>
      <c r="J1" s="1"/>
      <c r="K1" s="2"/>
      <c r="L1" s="2"/>
      <c r="M1" s="2"/>
      <c r="N1" s="2"/>
      <c r="O1" s="9"/>
      <c r="P1" s="9"/>
      <c r="Q1" s="7" t="s">
        <v>1340</v>
      </c>
    </row>
    <row r="2" spans="1:17" ht="15.75" customHeight="1">
      <c r="A2" s="2"/>
      <c r="B2" s="177" t="s">
        <v>1341</v>
      </c>
      <c r="C2" s="2"/>
      <c r="D2" s="2"/>
      <c r="E2" s="2"/>
      <c r="F2" s="2"/>
      <c r="G2" s="2"/>
      <c r="H2" s="2"/>
      <c r="I2" s="2"/>
      <c r="J2" s="1"/>
      <c r="K2" s="2"/>
      <c r="L2" s="2"/>
      <c r="M2" s="2"/>
      <c r="N2" s="2"/>
      <c r="O2" s="2"/>
      <c r="P2" s="2"/>
      <c r="Q2" s="2"/>
    </row>
    <row r="3" spans="1:17" ht="25.5" customHeight="1">
      <c r="A3" s="2"/>
      <c r="B3" s="261" t="s">
        <v>1342</v>
      </c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</row>
    <row r="4" spans="1:17" ht="21.75" customHeight="1">
      <c r="A4" s="2"/>
      <c r="B4" s="262" t="s">
        <v>1343</v>
      </c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</row>
    <row r="5" spans="1:17" ht="46.5" customHeight="1">
      <c r="A5" s="244" t="s">
        <v>1337</v>
      </c>
      <c r="B5" s="263" t="s">
        <v>1344</v>
      </c>
      <c r="C5" s="249"/>
      <c r="D5" s="263" t="s">
        <v>1345</v>
      </c>
      <c r="E5" s="249"/>
      <c r="F5" s="244" t="s">
        <v>1346</v>
      </c>
      <c r="G5" s="244" t="s">
        <v>1347</v>
      </c>
      <c r="H5" s="244" t="s">
        <v>1348</v>
      </c>
      <c r="I5" s="244" t="s">
        <v>1349</v>
      </c>
      <c r="J5" s="244" t="s">
        <v>1350</v>
      </c>
      <c r="K5" s="263" t="s">
        <v>1351</v>
      </c>
      <c r="L5" s="249"/>
      <c r="M5" s="263" t="s">
        <v>1345</v>
      </c>
      <c r="N5" s="249"/>
      <c r="O5" s="244" t="s">
        <v>1352</v>
      </c>
      <c r="P5" s="244" t="s">
        <v>16</v>
      </c>
      <c r="Q5" s="244" t="s">
        <v>17</v>
      </c>
    </row>
    <row r="6" spans="1:17" ht="15.75" customHeight="1">
      <c r="A6" s="238"/>
      <c r="B6" s="178" t="s">
        <v>1353</v>
      </c>
      <c r="C6" s="178" t="s">
        <v>1354</v>
      </c>
      <c r="D6" s="178" t="s">
        <v>1304</v>
      </c>
      <c r="E6" s="178" t="s">
        <v>1355</v>
      </c>
      <c r="F6" s="238"/>
      <c r="G6" s="238"/>
      <c r="H6" s="238"/>
      <c r="I6" s="238"/>
      <c r="J6" s="238"/>
      <c r="K6" s="178" t="s">
        <v>1356</v>
      </c>
      <c r="L6" s="178" t="s">
        <v>1354</v>
      </c>
      <c r="M6" s="178" t="s">
        <v>1304</v>
      </c>
      <c r="N6" s="178" t="s">
        <v>1355</v>
      </c>
      <c r="O6" s="238"/>
      <c r="P6" s="238"/>
      <c r="Q6" s="238"/>
    </row>
    <row r="7" spans="1:17" ht="15.75" customHeight="1">
      <c r="A7" s="179">
        <v>1</v>
      </c>
      <c r="B7" s="179">
        <v>2</v>
      </c>
      <c r="C7" s="179">
        <v>3</v>
      </c>
      <c r="D7" s="179">
        <v>4</v>
      </c>
      <c r="E7" s="179">
        <v>5</v>
      </c>
      <c r="F7" s="179">
        <v>6</v>
      </c>
      <c r="G7" s="179">
        <v>7</v>
      </c>
      <c r="H7" s="179">
        <v>8</v>
      </c>
      <c r="I7" s="179">
        <v>9</v>
      </c>
      <c r="J7" s="179">
        <v>10</v>
      </c>
      <c r="K7" s="179">
        <v>11</v>
      </c>
      <c r="L7" s="179">
        <v>12</v>
      </c>
      <c r="M7" s="179">
        <v>13</v>
      </c>
      <c r="N7" s="179">
        <v>14</v>
      </c>
      <c r="O7" s="179">
        <v>15</v>
      </c>
      <c r="P7" s="179">
        <v>16</v>
      </c>
      <c r="Q7" s="179">
        <v>17</v>
      </c>
    </row>
    <row r="8" spans="1:17" ht="27" customHeight="1">
      <c r="A8" s="264" t="s">
        <v>1357</v>
      </c>
      <c r="B8" s="249"/>
      <c r="C8" s="180"/>
      <c r="D8" s="180"/>
      <c r="E8" s="181"/>
      <c r="F8" s="180"/>
      <c r="G8" s="180"/>
      <c r="H8" s="180"/>
      <c r="I8" s="180"/>
      <c r="J8" s="182"/>
      <c r="K8" s="180"/>
      <c r="L8" s="180"/>
      <c r="M8" s="180"/>
      <c r="N8" s="183"/>
      <c r="O8" s="180"/>
      <c r="P8" s="180"/>
      <c r="Q8" s="180"/>
    </row>
    <row r="9" spans="1:17" ht="15.75" customHeight="1">
      <c r="A9" s="178"/>
      <c r="B9" s="184" t="s">
        <v>1358</v>
      </c>
      <c r="C9" s="185"/>
      <c r="D9" s="185"/>
      <c r="E9" s="186"/>
      <c r="F9" s="185"/>
      <c r="G9" s="185"/>
      <c r="H9" s="185"/>
      <c r="I9" s="185"/>
      <c r="J9" s="187"/>
      <c r="K9" s="185"/>
      <c r="L9" s="185"/>
      <c r="M9" s="185"/>
      <c r="N9" s="188"/>
      <c r="O9" s="185"/>
      <c r="P9" s="185"/>
      <c r="Q9" s="185"/>
    </row>
    <row r="10" spans="1:17" ht="15.75" customHeight="1">
      <c r="A10" s="178">
        <v>1</v>
      </c>
      <c r="B10" s="189" t="s">
        <v>359</v>
      </c>
      <c r="C10" s="178">
        <v>34</v>
      </c>
      <c r="D10" s="178">
        <v>2</v>
      </c>
      <c r="E10" s="190">
        <f>D10*100/C10</f>
        <v>5.882352941176471</v>
      </c>
      <c r="F10" s="178"/>
      <c r="G10" s="178" t="s">
        <v>1359</v>
      </c>
      <c r="H10" s="178" t="s">
        <v>1360</v>
      </c>
      <c r="I10" s="178"/>
      <c r="J10" s="178" t="s">
        <v>1361</v>
      </c>
      <c r="K10" s="178" t="s">
        <v>1362</v>
      </c>
      <c r="L10" s="178">
        <v>92</v>
      </c>
      <c r="M10" s="178">
        <v>3</v>
      </c>
      <c r="N10" s="190">
        <f>M10*100/L10</f>
        <v>3.2608695652173911</v>
      </c>
      <c r="O10" s="178">
        <v>2</v>
      </c>
      <c r="P10" s="178" t="s">
        <v>1310</v>
      </c>
      <c r="Q10" s="178"/>
    </row>
    <row r="11" spans="1:17" ht="24" customHeight="1">
      <c r="A11" s="191"/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</row>
    <row r="12" spans="1:17" ht="15.75" customHeight="1">
      <c r="A12" s="178">
        <v>2</v>
      </c>
      <c r="B12" s="189" t="s">
        <v>358</v>
      </c>
      <c r="C12" s="178">
        <v>58</v>
      </c>
      <c r="D12" s="178">
        <v>1</v>
      </c>
      <c r="E12" s="190">
        <f t="shared" ref="E12:E20" si="0">D12*100/C12</f>
        <v>1.7241379310344827</v>
      </c>
      <c r="F12" s="178"/>
      <c r="G12" s="178" t="s">
        <v>1363</v>
      </c>
      <c r="H12" s="178" t="s">
        <v>1360</v>
      </c>
      <c r="I12" s="178"/>
      <c r="J12" s="178"/>
      <c r="K12" s="178"/>
      <c r="L12" s="178"/>
      <c r="M12" s="178"/>
      <c r="N12" s="190"/>
      <c r="O12" s="178"/>
      <c r="P12" s="178"/>
      <c r="Q12" s="178"/>
    </row>
    <row r="13" spans="1:17" ht="15.75" customHeight="1">
      <c r="A13" s="178">
        <v>3</v>
      </c>
      <c r="B13" s="189" t="s">
        <v>364</v>
      </c>
      <c r="C13" s="178">
        <v>73</v>
      </c>
      <c r="D13" s="178">
        <v>4</v>
      </c>
      <c r="E13" s="190">
        <f t="shared" si="0"/>
        <v>5.4794520547945202</v>
      </c>
      <c r="F13" s="178"/>
      <c r="G13" s="178" t="s">
        <v>1364</v>
      </c>
      <c r="H13" s="178" t="s">
        <v>1360</v>
      </c>
      <c r="I13" s="178"/>
      <c r="J13" s="178" t="s">
        <v>1365</v>
      </c>
      <c r="K13" s="178" t="s">
        <v>364</v>
      </c>
      <c r="L13" s="178">
        <v>124</v>
      </c>
      <c r="M13" s="178">
        <v>6</v>
      </c>
      <c r="N13" s="190">
        <f>M13*100/L13</f>
        <v>4.838709677419355</v>
      </c>
      <c r="O13" s="178">
        <v>2</v>
      </c>
      <c r="P13" s="178" t="s">
        <v>1308</v>
      </c>
      <c r="Q13" s="178"/>
    </row>
    <row r="14" spans="1:17" ht="15.75" customHeight="1">
      <c r="A14" s="178">
        <v>4</v>
      </c>
      <c r="B14" s="189" t="s">
        <v>356</v>
      </c>
      <c r="C14" s="178">
        <v>51</v>
      </c>
      <c r="D14" s="178">
        <v>2</v>
      </c>
      <c r="E14" s="190">
        <f t="shared" si="0"/>
        <v>3.9215686274509802</v>
      </c>
      <c r="F14" s="178"/>
      <c r="G14" s="178" t="s">
        <v>1359</v>
      </c>
      <c r="H14" s="178" t="s">
        <v>1360</v>
      </c>
      <c r="I14" s="178"/>
      <c r="J14" s="178"/>
      <c r="K14" s="178"/>
      <c r="L14" s="178"/>
      <c r="M14" s="178"/>
      <c r="N14" s="190"/>
      <c r="O14" s="178"/>
      <c r="P14" s="178"/>
      <c r="Q14" s="178"/>
    </row>
    <row r="15" spans="1:17" ht="15.75" customHeight="1">
      <c r="A15" s="178">
        <v>5</v>
      </c>
      <c r="B15" s="192" t="s">
        <v>357</v>
      </c>
      <c r="C15" s="193">
        <v>62</v>
      </c>
      <c r="D15" s="193">
        <v>4</v>
      </c>
      <c r="E15" s="190">
        <f t="shared" si="0"/>
        <v>6.4516129032258061</v>
      </c>
      <c r="F15" s="178"/>
      <c r="G15" s="178" t="s">
        <v>1359</v>
      </c>
      <c r="H15" s="178" t="s">
        <v>1366</v>
      </c>
      <c r="I15" s="178"/>
      <c r="J15" s="178" t="s">
        <v>1367</v>
      </c>
      <c r="K15" s="178" t="s">
        <v>331</v>
      </c>
      <c r="L15" s="178">
        <v>146</v>
      </c>
      <c r="M15" s="178">
        <v>8</v>
      </c>
      <c r="N15" s="190">
        <f>M15*100/L15</f>
        <v>5.4794520547945202</v>
      </c>
      <c r="O15" s="178">
        <v>2.5</v>
      </c>
      <c r="P15" s="178" t="s">
        <v>1308</v>
      </c>
      <c r="Q15" s="178"/>
    </row>
    <row r="16" spans="1:17" ht="15.75" customHeight="1">
      <c r="A16" s="178">
        <v>6</v>
      </c>
      <c r="B16" s="189" t="s">
        <v>361</v>
      </c>
      <c r="C16" s="178">
        <v>45</v>
      </c>
      <c r="D16" s="178">
        <v>3</v>
      </c>
      <c r="E16" s="190">
        <f t="shared" si="0"/>
        <v>6.666666666666667</v>
      </c>
      <c r="F16" s="178"/>
      <c r="G16" s="178" t="s">
        <v>1359</v>
      </c>
      <c r="H16" s="178" t="s">
        <v>1360</v>
      </c>
      <c r="I16" s="178"/>
      <c r="J16" s="178"/>
      <c r="K16" s="178"/>
      <c r="L16" s="178"/>
      <c r="M16" s="178"/>
      <c r="N16" s="190"/>
      <c r="O16" s="178"/>
      <c r="P16" s="178"/>
      <c r="Q16" s="178"/>
    </row>
    <row r="17" spans="1:17" ht="15.75" customHeight="1">
      <c r="A17" s="178">
        <v>7</v>
      </c>
      <c r="B17" s="189" t="s">
        <v>362</v>
      </c>
      <c r="C17" s="178">
        <v>39</v>
      </c>
      <c r="D17" s="178">
        <v>1</v>
      </c>
      <c r="E17" s="190">
        <f t="shared" si="0"/>
        <v>2.5641025641025643</v>
      </c>
      <c r="F17" s="178"/>
      <c r="G17" s="178" t="s">
        <v>1359</v>
      </c>
      <c r="H17" s="178" t="s">
        <v>1360</v>
      </c>
      <c r="I17" s="178"/>
      <c r="J17" s="178"/>
      <c r="K17" s="178"/>
      <c r="L17" s="178"/>
      <c r="M17" s="178"/>
      <c r="N17" s="190"/>
      <c r="O17" s="178"/>
      <c r="P17" s="178"/>
      <c r="Q17" s="178"/>
    </row>
    <row r="18" spans="1:17" ht="15.75" customHeight="1">
      <c r="A18" s="178">
        <v>8</v>
      </c>
      <c r="B18" s="192" t="s">
        <v>138</v>
      </c>
      <c r="C18" s="193">
        <v>48</v>
      </c>
      <c r="D18" s="193">
        <v>4</v>
      </c>
      <c r="E18" s="190">
        <f t="shared" si="0"/>
        <v>8.3333333333333339</v>
      </c>
      <c r="F18" s="178"/>
      <c r="G18" s="178" t="s">
        <v>1359</v>
      </c>
      <c r="H18" s="178" t="s">
        <v>1360</v>
      </c>
      <c r="I18" s="178"/>
      <c r="J18" s="178" t="s">
        <v>1368</v>
      </c>
      <c r="K18" s="178" t="s">
        <v>1369</v>
      </c>
      <c r="L18" s="178">
        <v>114</v>
      </c>
      <c r="M18" s="178">
        <v>9</v>
      </c>
      <c r="N18" s="190">
        <f>M18*100/L18</f>
        <v>7.8947368421052628</v>
      </c>
      <c r="O18" s="178">
        <v>3</v>
      </c>
      <c r="P18" s="178" t="s">
        <v>1308</v>
      </c>
      <c r="Q18" s="178"/>
    </row>
    <row r="19" spans="1:17" ht="15.75" customHeight="1">
      <c r="A19" s="178">
        <v>9</v>
      </c>
      <c r="B19" s="192" t="s">
        <v>363</v>
      </c>
      <c r="C19" s="193">
        <v>43</v>
      </c>
      <c r="D19" s="193">
        <v>5</v>
      </c>
      <c r="E19" s="190">
        <f t="shared" si="0"/>
        <v>11.627906976744185</v>
      </c>
      <c r="F19" s="178"/>
      <c r="G19" s="178" t="s">
        <v>1359</v>
      </c>
      <c r="H19" s="178" t="s">
        <v>1360</v>
      </c>
      <c r="I19" s="178"/>
      <c r="J19" s="178"/>
      <c r="K19" s="178"/>
      <c r="L19" s="178"/>
      <c r="M19" s="178"/>
      <c r="N19" s="190"/>
      <c r="O19" s="178"/>
      <c r="P19" s="178"/>
      <c r="Q19" s="178"/>
    </row>
    <row r="20" spans="1:17" ht="15.75" customHeight="1">
      <c r="A20" s="178">
        <v>10</v>
      </c>
      <c r="B20" s="189" t="s">
        <v>365</v>
      </c>
      <c r="C20" s="178">
        <v>23</v>
      </c>
      <c r="D20" s="178"/>
      <c r="E20" s="190">
        <f t="shared" si="0"/>
        <v>0</v>
      </c>
      <c r="F20" s="178"/>
      <c r="G20" s="178" t="s">
        <v>1359</v>
      </c>
      <c r="H20" s="178" t="s">
        <v>1370</v>
      </c>
      <c r="I20" s="178"/>
      <c r="J20" s="178"/>
      <c r="K20" s="178"/>
      <c r="L20" s="178"/>
      <c r="M20" s="178"/>
      <c r="N20" s="190"/>
      <c r="O20" s="178"/>
      <c r="P20" s="178"/>
      <c r="Q20" s="178"/>
    </row>
    <row r="21" spans="1:17" ht="27" customHeight="1">
      <c r="A21" s="264" t="s">
        <v>1371</v>
      </c>
      <c r="B21" s="249"/>
      <c r="C21" s="180"/>
      <c r="D21" s="180"/>
      <c r="E21" s="181"/>
      <c r="F21" s="180"/>
      <c r="G21" s="180"/>
      <c r="H21" s="180"/>
      <c r="I21" s="180"/>
      <c r="J21" s="182"/>
      <c r="K21" s="180"/>
      <c r="L21" s="180"/>
      <c r="M21" s="180"/>
      <c r="N21" s="183"/>
      <c r="O21" s="180"/>
      <c r="P21" s="180"/>
      <c r="Q21" s="180"/>
    </row>
    <row r="22" spans="1:17" ht="15.75" customHeight="1">
      <c r="A22" s="178"/>
      <c r="B22" s="184" t="s">
        <v>1372</v>
      </c>
      <c r="C22" s="185"/>
      <c r="D22" s="185"/>
      <c r="E22" s="190"/>
      <c r="F22" s="185"/>
      <c r="G22" s="185"/>
      <c r="H22" s="185"/>
      <c r="I22" s="185"/>
      <c r="J22" s="187"/>
      <c r="K22" s="185"/>
      <c r="L22" s="185"/>
      <c r="M22" s="185"/>
      <c r="N22" s="188"/>
      <c r="O22" s="185"/>
      <c r="P22" s="185"/>
      <c r="Q22" s="185"/>
    </row>
    <row r="23" spans="1:17" ht="15.75" customHeight="1">
      <c r="A23" s="178">
        <v>1</v>
      </c>
      <c r="B23" s="189" t="s">
        <v>603</v>
      </c>
      <c r="C23" s="178">
        <v>46</v>
      </c>
      <c r="D23" s="178">
        <v>11</v>
      </c>
      <c r="E23" s="190">
        <f t="shared" ref="E23:E33" si="1">D23*100/C23</f>
        <v>23.913043478260871</v>
      </c>
      <c r="F23" s="178">
        <v>50</v>
      </c>
      <c r="G23" s="178" t="s">
        <v>1373</v>
      </c>
      <c r="H23" s="178" t="s">
        <v>1360</v>
      </c>
      <c r="I23" s="178" t="s">
        <v>60</v>
      </c>
      <c r="J23" s="265" t="s">
        <v>1374</v>
      </c>
      <c r="K23" s="266" t="s">
        <v>605</v>
      </c>
      <c r="L23" s="266">
        <v>103</v>
      </c>
      <c r="M23" s="266">
        <f>D23+D24</f>
        <v>16</v>
      </c>
      <c r="N23" s="267">
        <f>M23*100/L23</f>
        <v>15.533980582524272</v>
      </c>
      <c r="O23" s="266">
        <v>0.7</v>
      </c>
      <c r="P23" s="266" t="s">
        <v>1308</v>
      </c>
      <c r="Q23" s="266"/>
    </row>
    <row r="24" spans="1:17" ht="15.75" customHeight="1">
      <c r="A24" s="178">
        <v>2</v>
      </c>
      <c r="B24" s="189" t="s">
        <v>605</v>
      </c>
      <c r="C24" s="178">
        <v>58</v>
      </c>
      <c r="D24" s="178">
        <v>5</v>
      </c>
      <c r="E24" s="190">
        <f t="shared" si="1"/>
        <v>8.6206896551724146</v>
      </c>
      <c r="F24" s="178">
        <v>79.3</v>
      </c>
      <c r="G24" s="178" t="s">
        <v>1373</v>
      </c>
      <c r="H24" s="178" t="s">
        <v>1375</v>
      </c>
      <c r="I24" s="178"/>
      <c r="J24" s="238"/>
      <c r="K24" s="238"/>
      <c r="L24" s="238"/>
      <c r="M24" s="238"/>
      <c r="N24" s="238"/>
      <c r="O24" s="238"/>
      <c r="P24" s="238"/>
      <c r="Q24" s="238"/>
    </row>
    <row r="25" spans="1:17" ht="15.75" customHeight="1">
      <c r="A25" s="178">
        <v>3</v>
      </c>
      <c r="B25" s="189" t="s">
        <v>601</v>
      </c>
      <c r="C25" s="178">
        <v>49</v>
      </c>
      <c r="D25" s="178">
        <v>9</v>
      </c>
      <c r="E25" s="190">
        <f t="shared" si="1"/>
        <v>18.367346938775512</v>
      </c>
      <c r="F25" s="178">
        <v>100</v>
      </c>
      <c r="G25" s="178" t="s">
        <v>1376</v>
      </c>
      <c r="H25" s="178" t="s">
        <v>1366</v>
      </c>
      <c r="I25" s="178" t="s">
        <v>60</v>
      </c>
      <c r="J25" s="266" t="s">
        <v>1377</v>
      </c>
      <c r="K25" s="266" t="s">
        <v>601</v>
      </c>
      <c r="L25" s="266">
        <v>104</v>
      </c>
      <c r="M25" s="266">
        <v>18</v>
      </c>
      <c r="N25" s="267">
        <f>M25*100/L25</f>
        <v>17.307692307692307</v>
      </c>
      <c r="O25" s="266">
        <v>0.8</v>
      </c>
      <c r="P25" s="266" t="s">
        <v>1308</v>
      </c>
      <c r="Q25" s="266"/>
    </row>
    <row r="26" spans="1:17" ht="15.75" customHeight="1">
      <c r="A26" s="178">
        <v>4</v>
      </c>
      <c r="B26" s="189" t="s">
        <v>599</v>
      </c>
      <c r="C26" s="178">
        <v>28</v>
      </c>
      <c r="D26" s="178">
        <v>3</v>
      </c>
      <c r="E26" s="190">
        <f t="shared" si="1"/>
        <v>10.714285714285714</v>
      </c>
      <c r="F26" s="178">
        <v>100</v>
      </c>
      <c r="G26" s="178" t="s">
        <v>1373</v>
      </c>
      <c r="H26" s="178" t="s">
        <v>1366</v>
      </c>
      <c r="I26" s="178"/>
      <c r="J26" s="252"/>
      <c r="K26" s="252"/>
      <c r="L26" s="252"/>
      <c r="M26" s="252"/>
      <c r="N26" s="252"/>
      <c r="O26" s="252"/>
      <c r="P26" s="252"/>
      <c r="Q26" s="238"/>
    </row>
    <row r="27" spans="1:17" ht="15.75" customHeight="1">
      <c r="A27" s="178">
        <v>5</v>
      </c>
      <c r="B27" s="189" t="s">
        <v>613</v>
      </c>
      <c r="C27" s="178">
        <v>25</v>
      </c>
      <c r="D27" s="178">
        <v>6</v>
      </c>
      <c r="E27" s="190">
        <f t="shared" si="1"/>
        <v>24</v>
      </c>
      <c r="F27" s="178">
        <v>96</v>
      </c>
      <c r="G27" s="178" t="s">
        <v>1373</v>
      </c>
      <c r="H27" s="178" t="s">
        <v>1360</v>
      </c>
      <c r="I27" s="178" t="s">
        <v>60</v>
      </c>
      <c r="J27" s="238"/>
      <c r="K27" s="238"/>
      <c r="L27" s="238"/>
      <c r="M27" s="238"/>
      <c r="N27" s="238"/>
      <c r="O27" s="238"/>
      <c r="P27" s="238"/>
      <c r="Q27" s="185"/>
    </row>
    <row r="28" spans="1:17" ht="15.75" customHeight="1">
      <c r="A28" s="178">
        <v>6</v>
      </c>
      <c r="B28" s="189" t="s">
        <v>614</v>
      </c>
      <c r="C28" s="178">
        <v>43</v>
      </c>
      <c r="D28" s="178">
        <v>7</v>
      </c>
      <c r="E28" s="190">
        <f t="shared" si="1"/>
        <v>16.279069767441861</v>
      </c>
      <c r="F28" s="178">
        <v>100</v>
      </c>
      <c r="G28" s="178" t="s">
        <v>1359</v>
      </c>
      <c r="H28" s="178" t="s">
        <v>1366</v>
      </c>
      <c r="I28" s="178" t="s">
        <v>60</v>
      </c>
      <c r="J28" s="266" t="s">
        <v>1378</v>
      </c>
      <c r="K28" s="266" t="s">
        <v>615</v>
      </c>
      <c r="L28" s="266">
        <v>82</v>
      </c>
      <c r="M28" s="266">
        <v>23</v>
      </c>
      <c r="N28" s="267">
        <f>M28*100/L28</f>
        <v>28.048780487804876</v>
      </c>
      <c r="O28" s="266">
        <v>0.3</v>
      </c>
      <c r="P28" s="266" t="s">
        <v>1310</v>
      </c>
      <c r="Q28" s="266"/>
    </row>
    <row r="29" spans="1:17" ht="15.75" customHeight="1">
      <c r="A29" s="178">
        <v>7</v>
      </c>
      <c r="B29" s="189" t="s">
        <v>615</v>
      </c>
      <c r="C29" s="178">
        <v>38</v>
      </c>
      <c r="D29" s="178">
        <v>5</v>
      </c>
      <c r="E29" s="190">
        <f t="shared" si="1"/>
        <v>13.157894736842104</v>
      </c>
      <c r="F29" s="178">
        <v>89.5</v>
      </c>
      <c r="G29" s="178" t="s">
        <v>1359</v>
      </c>
      <c r="H29" s="178" t="s">
        <v>1366</v>
      </c>
      <c r="I29" s="178"/>
      <c r="J29" s="252"/>
      <c r="K29" s="252"/>
      <c r="L29" s="252"/>
      <c r="M29" s="252"/>
      <c r="N29" s="252"/>
      <c r="O29" s="252"/>
      <c r="P29" s="252"/>
      <c r="Q29" s="238"/>
    </row>
    <row r="30" spans="1:17" ht="15.75" customHeight="1">
      <c r="A30" s="178">
        <v>8</v>
      </c>
      <c r="B30" s="189" t="s">
        <v>616</v>
      </c>
      <c r="C30" s="178">
        <v>40</v>
      </c>
      <c r="D30" s="178">
        <v>11</v>
      </c>
      <c r="E30" s="190">
        <f t="shared" si="1"/>
        <v>27.5</v>
      </c>
      <c r="F30" s="178">
        <v>100</v>
      </c>
      <c r="G30" s="178" t="s">
        <v>1373</v>
      </c>
      <c r="H30" s="178" t="s">
        <v>1366</v>
      </c>
      <c r="I30" s="178" t="s">
        <v>60</v>
      </c>
      <c r="J30" s="238"/>
      <c r="K30" s="238"/>
      <c r="L30" s="238"/>
      <c r="M30" s="238"/>
      <c r="N30" s="238"/>
      <c r="O30" s="238"/>
      <c r="P30" s="238"/>
      <c r="Q30" s="194"/>
    </row>
    <row r="31" spans="1:17" ht="15.75" customHeight="1">
      <c r="A31" s="178">
        <v>9</v>
      </c>
      <c r="B31" s="189" t="s">
        <v>609</v>
      </c>
      <c r="C31" s="178">
        <v>43</v>
      </c>
      <c r="D31" s="178">
        <v>13</v>
      </c>
      <c r="E31" s="190">
        <f t="shared" si="1"/>
        <v>30.232558139534884</v>
      </c>
      <c r="F31" s="178">
        <v>100</v>
      </c>
      <c r="G31" s="178" t="s">
        <v>1359</v>
      </c>
      <c r="H31" s="178" t="s">
        <v>1366</v>
      </c>
      <c r="I31" s="178" t="s">
        <v>60</v>
      </c>
      <c r="J31" s="266" t="s">
        <v>1379</v>
      </c>
      <c r="K31" s="266" t="s">
        <v>1380</v>
      </c>
      <c r="L31" s="266">
        <v>104</v>
      </c>
      <c r="M31" s="266">
        <v>31</v>
      </c>
      <c r="N31" s="267">
        <f>M31*100/L31</f>
        <v>29.807692307692307</v>
      </c>
      <c r="O31" s="266">
        <v>0.3</v>
      </c>
      <c r="P31" s="266" t="s">
        <v>1308</v>
      </c>
      <c r="Q31" s="266"/>
    </row>
    <row r="32" spans="1:17" ht="15.75" customHeight="1">
      <c r="A32" s="178">
        <v>10</v>
      </c>
      <c r="B32" s="189" t="s">
        <v>610</v>
      </c>
      <c r="C32" s="178">
        <v>38</v>
      </c>
      <c r="D32" s="178">
        <v>9</v>
      </c>
      <c r="E32" s="190">
        <f t="shared" si="1"/>
        <v>23.684210526315791</v>
      </c>
      <c r="F32" s="178">
        <v>100</v>
      </c>
      <c r="G32" s="178" t="s">
        <v>1373</v>
      </c>
      <c r="H32" s="178" t="s">
        <v>1366</v>
      </c>
      <c r="I32" s="178" t="s">
        <v>60</v>
      </c>
      <c r="J32" s="252"/>
      <c r="K32" s="252"/>
      <c r="L32" s="252"/>
      <c r="M32" s="252"/>
      <c r="N32" s="252"/>
      <c r="O32" s="252"/>
      <c r="P32" s="252"/>
      <c r="Q32" s="252"/>
    </row>
    <row r="33" spans="1:17" ht="15.75" customHeight="1">
      <c r="A33" s="178">
        <v>11</v>
      </c>
      <c r="B33" s="189" t="s">
        <v>608</v>
      </c>
      <c r="C33" s="178">
        <v>28</v>
      </c>
      <c r="D33" s="178">
        <v>9</v>
      </c>
      <c r="E33" s="190">
        <f t="shared" si="1"/>
        <v>32.142857142857146</v>
      </c>
      <c r="F33" s="178">
        <v>100</v>
      </c>
      <c r="G33" s="178" t="s">
        <v>1381</v>
      </c>
      <c r="H33" s="178" t="s">
        <v>1382</v>
      </c>
      <c r="I33" s="178" t="s">
        <v>60</v>
      </c>
      <c r="J33" s="238"/>
      <c r="K33" s="238"/>
      <c r="L33" s="238"/>
      <c r="M33" s="238"/>
      <c r="N33" s="238"/>
      <c r="O33" s="238"/>
      <c r="P33" s="238"/>
      <c r="Q33" s="238"/>
    </row>
    <row r="34" spans="1:17" ht="15.75" customHeight="1">
      <c r="A34" s="178"/>
      <c r="B34" s="184" t="s">
        <v>1383</v>
      </c>
      <c r="C34" s="185"/>
      <c r="D34" s="185"/>
      <c r="E34" s="190"/>
      <c r="F34" s="185"/>
      <c r="G34" s="185"/>
      <c r="H34" s="185"/>
      <c r="I34" s="185"/>
      <c r="J34" s="187"/>
      <c r="K34" s="185"/>
      <c r="L34" s="185"/>
      <c r="M34" s="185"/>
      <c r="N34" s="188"/>
      <c r="O34" s="185"/>
      <c r="P34" s="185"/>
      <c r="Q34" s="185"/>
    </row>
    <row r="35" spans="1:17" ht="15.75" customHeight="1">
      <c r="A35" s="178">
        <v>1</v>
      </c>
      <c r="B35" s="189" t="s">
        <v>528</v>
      </c>
      <c r="C35" s="178">
        <v>21</v>
      </c>
      <c r="D35" s="178">
        <v>0</v>
      </c>
      <c r="E35" s="190">
        <f t="shared" ref="E35:E38" si="2">D35*100/C35</f>
        <v>0</v>
      </c>
      <c r="F35" s="178"/>
      <c r="G35" s="178">
        <v>0</v>
      </c>
      <c r="H35" s="178" t="s">
        <v>1384</v>
      </c>
      <c r="I35" s="178"/>
      <c r="J35" s="265" t="s">
        <v>1385</v>
      </c>
      <c r="K35" s="266" t="s">
        <v>519</v>
      </c>
      <c r="L35" s="266">
        <v>83</v>
      </c>
      <c r="M35" s="266">
        <v>9</v>
      </c>
      <c r="N35" s="267">
        <f>M35*100/L35</f>
        <v>10.843373493975903</v>
      </c>
      <c r="O35" s="266">
        <v>0.5</v>
      </c>
      <c r="P35" s="266" t="s">
        <v>1310</v>
      </c>
      <c r="Q35" s="266"/>
    </row>
    <row r="36" spans="1:17" ht="15.75" customHeight="1">
      <c r="A36" s="178">
        <v>2</v>
      </c>
      <c r="B36" s="189" t="s">
        <v>519</v>
      </c>
      <c r="C36" s="178">
        <v>62</v>
      </c>
      <c r="D36" s="178">
        <v>9</v>
      </c>
      <c r="E36" s="190">
        <f t="shared" si="2"/>
        <v>14.516129032258064</v>
      </c>
      <c r="F36" s="178"/>
      <c r="G36" s="178" t="s">
        <v>1364</v>
      </c>
      <c r="H36" s="178" t="s">
        <v>1386</v>
      </c>
      <c r="I36" s="178"/>
      <c r="J36" s="238"/>
      <c r="K36" s="238"/>
      <c r="L36" s="238"/>
      <c r="M36" s="238"/>
      <c r="N36" s="238"/>
      <c r="O36" s="238"/>
      <c r="P36" s="238"/>
      <c r="Q36" s="238"/>
    </row>
    <row r="37" spans="1:17" ht="15.75" customHeight="1">
      <c r="A37" s="178">
        <v>3</v>
      </c>
      <c r="B37" s="189" t="s">
        <v>518</v>
      </c>
      <c r="C37" s="178">
        <v>48</v>
      </c>
      <c r="D37" s="178">
        <v>6</v>
      </c>
      <c r="E37" s="190">
        <f t="shared" si="2"/>
        <v>12.5</v>
      </c>
      <c r="F37" s="178"/>
      <c r="G37" s="178" t="s">
        <v>1364</v>
      </c>
      <c r="H37" s="178" t="s">
        <v>1386</v>
      </c>
      <c r="I37" s="178"/>
      <c r="J37" s="265" t="s">
        <v>1387</v>
      </c>
      <c r="K37" s="266" t="s">
        <v>518</v>
      </c>
      <c r="L37" s="266">
        <f t="shared" ref="L37:M37" si="3">C37+C38</f>
        <v>62</v>
      </c>
      <c r="M37" s="266">
        <f t="shared" si="3"/>
        <v>11</v>
      </c>
      <c r="N37" s="267">
        <f>M37*100/L37</f>
        <v>17.741935483870968</v>
      </c>
      <c r="O37" s="266">
        <v>1</v>
      </c>
      <c r="P37" s="266" t="s">
        <v>1310</v>
      </c>
      <c r="Q37" s="266"/>
    </row>
    <row r="38" spans="1:17" ht="15.75" customHeight="1">
      <c r="A38" s="178">
        <v>4</v>
      </c>
      <c r="B38" s="189" t="s">
        <v>523</v>
      </c>
      <c r="C38" s="178">
        <v>14</v>
      </c>
      <c r="D38" s="178">
        <v>5</v>
      </c>
      <c r="E38" s="190">
        <f t="shared" si="2"/>
        <v>35.714285714285715</v>
      </c>
      <c r="F38" s="178"/>
      <c r="G38" s="178">
        <v>0</v>
      </c>
      <c r="H38" s="178" t="s">
        <v>1388</v>
      </c>
      <c r="I38" s="178"/>
      <c r="J38" s="238"/>
      <c r="K38" s="238"/>
      <c r="L38" s="238"/>
      <c r="M38" s="238"/>
      <c r="N38" s="238"/>
      <c r="O38" s="238"/>
      <c r="P38" s="238"/>
      <c r="Q38" s="238"/>
    </row>
    <row r="39" spans="1:17" ht="27" customHeight="1">
      <c r="A39" s="264" t="s">
        <v>1389</v>
      </c>
      <c r="B39" s="249"/>
      <c r="C39" s="180"/>
      <c r="D39" s="180"/>
      <c r="E39" s="181"/>
      <c r="F39" s="180"/>
      <c r="G39" s="180"/>
      <c r="H39" s="180"/>
      <c r="I39" s="180"/>
      <c r="J39" s="182"/>
      <c r="K39" s="180"/>
      <c r="L39" s="180"/>
      <c r="M39" s="180"/>
      <c r="N39" s="183"/>
      <c r="O39" s="180"/>
      <c r="P39" s="180"/>
      <c r="Q39" s="180"/>
    </row>
    <row r="40" spans="1:17" ht="15.75" customHeight="1">
      <c r="A40" s="178"/>
      <c r="B40" s="184" t="s">
        <v>1390</v>
      </c>
      <c r="C40" s="185"/>
      <c r="D40" s="185"/>
      <c r="E40" s="190"/>
      <c r="F40" s="185"/>
      <c r="G40" s="185"/>
      <c r="H40" s="185"/>
      <c r="I40" s="185"/>
      <c r="J40" s="187"/>
      <c r="K40" s="185"/>
      <c r="L40" s="185"/>
      <c r="M40" s="185"/>
      <c r="N40" s="188"/>
      <c r="O40" s="185"/>
      <c r="P40" s="185"/>
      <c r="Q40" s="185"/>
    </row>
    <row r="41" spans="1:17" ht="15.75" customHeight="1">
      <c r="A41" s="178">
        <v>1</v>
      </c>
      <c r="B41" s="189" t="s">
        <v>698</v>
      </c>
      <c r="C41" s="178">
        <v>40</v>
      </c>
      <c r="D41" s="178">
        <v>0</v>
      </c>
      <c r="E41" s="190">
        <f t="shared" ref="E41:E47" si="4">D41*100/C41</f>
        <v>0</v>
      </c>
      <c r="F41" s="178">
        <v>100</v>
      </c>
      <c r="G41" s="178" t="s">
        <v>63</v>
      </c>
      <c r="H41" s="178" t="s">
        <v>1391</v>
      </c>
      <c r="I41" s="178"/>
      <c r="J41" s="266" t="s">
        <v>1392</v>
      </c>
      <c r="K41" s="266" t="s">
        <v>1393</v>
      </c>
      <c r="L41" s="266">
        <f t="shared" ref="L41:M41" si="5">C41+C42+C43</f>
        <v>118</v>
      </c>
      <c r="M41" s="266">
        <f t="shared" si="5"/>
        <v>9</v>
      </c>
      <c r="N41" s="267">
        <f>M41*100/L41</f>
        <v>7.6271186440677967</v>
      </c>
      <c r="O41" s="266">
        <v>0.5</v>
      </c>
      <c r="P41" s="266" t="s">
        <v>1308</v>
      </c>
      <c r="Q41" s="266"/>
    </row>
    <row r="42" spans="1:17" ht="15.75" customHeight="1">
      <c r="A42" s="178">
        <v>2</v>
      </c>
      <c r="B42" s="189" t="s">
        <v>280</v>
      </c>
      <c r="C42" s="178">
        <v>40</v>
      </c>
      <c r="D42" s="178">
        <v>7</v>
      </c>
      <c r="E42" s="190">
        <f t="shared" si="4"/>
        <v>17.5</v>
      </c>
      <c r="F42" s="178">
        <v>100</v>
      </c>
      <c r="G42" s="178" t="s">
        <v>1394</v>
      </c>
      <c r="H42" s="178" t="s">
        <v>1391</v>
      </c>
      <c r="I42" s="178"/>
      <c r="J42" s="252"/>
      <c r="K42" s="252"/>
      <c r="L42" s="252"/>
      <c r="M42" s="252"/>
      <c r="N42" s="252"/>
      <c r="O42" s="252"/>
      <c r="P42" s="252"/>
      <c r="Q42" s="252"/>
    </row>
    <row r="43" spans="1:17" ht="15.75" customHeight="1">
      <c r="A43" s="178">
        <v>3</v>
      </c>
      <c r="B43" s="189" t="s">
        <v>697</v>
      </c>
      <c r="C43" s="178">
        <v>38</v>
      </c>
      <c r="D43" s="178">
        <v>2</v>
      </c>
      <c r="E43" s="190">
        <f t="shared" si="4"/>
        <v>5.2631578947368425</v>
      </c>
      <c r="F43" s="178">
        <v>100</v>
      </c>
      <c r="G43" s="178" t="s">
        <v>63</v>
      </c>
      <c r="H43" s="178" t="s">
        <v>1395</v>
      </c>
      <c r="I43" s="178"/>
      <c r="J43" s="238"/>
      <c r="K43" s="238"/>
      <c r="L43" s="238"/>
      <c r="M43" s="238"/>
      <c r="N43" s="238"/>
      <c r="O43" s="238"/>
      <c r="P43" s="238"/>
      <c r="Q43" s="238"/>
    </row>
    <row r="44" spans="1:17" ht="15.75" customHeight="1">
      <c r="A44" s="178">
        <v>4</v>
      </c>
      <c r="B44" s="189" t="s">
        <v>382</v>
      </c>
      <c r="C44" s="178">
        <v>59</v>
      </c>
      <c r="D44" s="178">
        <v>7</v>
      </c>
      <c r="E44" s="190">
        <f t="shared" si="4"/>
        <v>11.864406779661017</v>
      </c>
      <c r="F44" s="178">
        <v>94.83</v>
      </c>
      <c r="G44" s="178" t="s">
        <v>56</v>
      </c>
      <c r="H44" s="178" t="s">
        <v>1395</v>
      </c>
      <c r="I44" s="185"/>
      <c r="J44" s="266" t="s">
        <v>1396</v>
      </c>
      <c r="K44" s="266" t="s">
        <v>1397</v>
      </c>
      <c r="L44" s="266">
        <f t="shared" ref="L44:M44" si="6">C44+C45</f>
        <v>125</v>
      </c>
      <c r="M44" s="266">
        <f t="shared" si="6"/>
        <v>13</v>
      </c>
      <c r="N44" s="267">
        <f>M44*100/L44</f>
        <v>10.4</v>
      </c>
      <c r="O44" s="266">
        <v>0.5</v>
      </c>
      <c r="P44" s="266" t="s">
        <v>1308</v>
      </c>
      <c r="Q44" s="269"/>
    </row>
    <row r="45" spans="1:17" ht="15.75" customHeight="1">
      <c r="A45" s="178">
        <v>5</v>
      </c>
      <c r="B45" s="189" t="s">
        <v>699</v>
      </c>
      <c r="C45" s="178">
        <v>66</v>
      </c>
      <c r="D45" s="178">
        <v>6</v>
      </c>
      <c r="E45" s="190">
        <f t="shared" si="4"/>
        <v>9.0909090909090917</v>
      </c>
      <c r="F45" s="178">
        <v>100</v>
      </c>
      <c r="G45" s="178" t="s">
        <v>63</v>
      </c>
      <c r="H45" s="178" t="s">
        <v>1395</v>
      </c>
      <c r="I45" s="178"/>
      <c r="J45" s="238"/>
      <c r="K45" s="238"/>
      <c r="L45" s="238"/>
      <c r="M45" s="238"/>
      <c r="N45" s="238"/>
      <c r="O45" s="238"/>
      <c r="P45" s="238"/>
      <c r="Q45" s="238"/>
    </row>
    <row r="46" spans="1:17" ht="15.75" customHeight="1">
      <c r="A46" s="178">
        <v>6</v>
      </c>
      <c r="B46" s="189" t="s">
        <v>692</v>
      </c>
      <c r="C46" s="178">
        <v>73</v>
      </c>
      <c r="D46" s="178">
        <v>5</v>
      </c>
      <c r="E46" s="190">
        <f t="shared" si="4"/>
        <v>6.8493150684931505</v>
      </c>
      <c r="F46" s="178">
        <v>100</v>
      </c>
      <c r="G46" s="178" t="s">
        <v>43</v>
      </c>
      <c r="H46" s="178" t="s">
        <v>1395</v>
      </c>
      <c r="I46" s="178"/>
      <c r="J46" s="266" t="s">
        <v>1398</v>
      </c>
      <c r="K46" s="266" t="s">
        <v>342</v>
      </c>
      <c r="L46" s="266">
        <f t="shared" ref="L46:M46" si="7">C46+C47</f>
        <v>116</v>
      </c>
      <c r="M46" s="266">
        <f t="shared" si="7"/>
        <v>8</v>
      </c>
      <c r="N46" s="267">
        <f>M46*100/L46</f>
        <v>6.8965517241379306</v>
      </c>
      <c r="O46" s="266">
        <v>0.5</v>
      </c>
      <c r="P46" s="266" t="s">
        <v>1308</v>
      </c>
      <c r="Q46" s="266"/>
    </row>
    <row r="47" spans="1:17" ht="15.75" customHeight="1">
      <c r="A47" s="178">
        <v>7</v>
      </c>
      <c r="B47" s="189" t="s">
        <v>702</v>
      </c>
      <c r="C47" s="178">
        <v>43</v>
      </c>
      <c r="D47" s="178">
        <v>3</v>
      </c>
      <c r="E47" s="190">
        <f t="shared" si="4"/>
        <v>6.9767441860465116</v>
      </c>
      <c r="F47" s="178">
        <v>97.5</v>
      </c>
      <c r="G47" s="178" t="s">
        <v>63</v>
      </c>
      <c r="H47" s="178" t="s">
        <v>1395</v>
      </c>
      <c r="I47" s="194"/>
      <c r="J47" s="238"/>
      <c r="K47" s="238"/>
      <c r="L47" s="238"/>
      <c r="M47" s="238"/>
      <c r="N47" s="238"/>
      <c r="O47" s="238"/>
      <c r="P47" s="238"/>
      <c r="Q47" s="238"/>
    </row>
    <row r="48" spans="1:17" ht="24" customHeight="1">
      <c r="A48" s="195" t="s">
        <v>636</v>
      </c>
      <c r="B48" s="195" t="s">
        <v>1399</v>
      </c>
      <c r="C48" s="191"/>
      <c r="D48" s="191"/>
      <c r="E48" s="191"/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1"/>
    </row>
    <row r="49" spans="1:17" ht="24" customHeight="1">
      <c r="A49" s="195"/>
      <c r="B49" s="195" t="s">
        <v>1400</v>
      </c>
      <c r="C49" s="191"/>
      <c r="D49" s="191"/>
      <c r="E49" s="191"/>
      <c r="F49" s="191"/>
      <c r="G49" s="191"/>
      <c r="H49" s="191"/>
      <c r="I49" s="191"/>
      <c r="J49" s="191"/>
      <c r="K49" s="191"/>
      <c r="L49" s="191"/>
      <c r="M49" s="191"/>
      <c r="N49" s="191"/>
      <c r="O49" s="191"/>
      <c r="P49" s="191"/>
      <c r="Q49" s="191"/>
    </row>
    <row r="50" spans="1:17" ht="24" customHeight="1">
      <c r="A50" s="196">
        <v>1</v>
      </c>
      <c r="B50" s="197" t="s">
        <v>1082</v>
      </c>
      <c r="C50" s="197">
        <v>28</v>
      </c>
      <c r="D50" s="197">
        <v>10</v>
      </c>
      <c r="E50" s="197" t="s">
        <v>1401</v>
      </c>
      <c r="F50" s="197">
        <v>100</v>
      </c>
      <c r="G50" s="197" t="s">
        <v>1402</v>
      </c>
      <c r="H50" s="197" t="s">
        <v>1403</v>
      </c>
      <c r="I50" s="197" t="s">
        <v>60</v>
      </c>
      <c r="J50" s="268" t="s">
        <v>1404</v>
      </c>
      <c r="K50" s="268" t="s">
        <v>1405</v>
      </c>
      <c r="L50" s="268">
        <v>60</v>
      </c>
      <c r="M50" s="268">
        <v>21</v>
      </c>
      <c r="N50" s="268" t="s">
        <v>1406</v>
      </c>
      <c r="O50" s="268">
        <v>0</v>
      </c>
      <c r="P50" s="268" t="s">
        <v>1310</v>
      </c>
      <c r="Q50" s="268"/>
    </row>
    <row r="51" spans="1:17" ht="24" customHeight="1">
      <c r="A51" s="198">
        <v>2</v>
      </c>
      <c r="B51" s="199" t="s">
        <v>559</v>
      </c>
      <c r="C51" s="199">
        <v>32</v>
      </c>
      <c r="D51" s="199">
        <v>11</v>
      </c>
      <c r="E51" s="200">
        <f>AVERAGE(E45:F50)</f>
        <v>60.059566906492684</v>
      </c>
      <c r="F51" s="199">
        <v>100</v>
      </c>
      <c r="G51" s="199" t="s">
        <v>1402</v>
      </c>
      <c r="H51" s="199" t="s">
        <v>1403</v>
      </c>
      <c r="I51" s="199" t="s">
        <v>60</v>
      </c>
      <c r="J51" s="238"/>
      <c r="K51" s="238"/>
      <c r="L51" s="238"/>
      <c r="M51" s="238"/>
      <c r="N51" s="238"/>
      <c r="O51" s="238"/>
      <c r="P51" s="238"/>
      <c r="Q51" s="238"/>
    </row>
    <row r="52" spans="1:17" ht="24" customHeight="1">
      <c r="A52" s="201"/>
      <c r="B52" s="201"/>
      <c r="C52" s="201"/>
      <c r="D52" s="201"/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</row>
    <row r="53" spans="1:17" ht="15.75" customHeight="1">
      <c r="A53" s="2"/>
      <c r="B53" s="1"/>
      <c r="C53" s="2"/>
      <c r="D53" s="2"/>
      <c r="E53" s="2"/>
      <c r="F53" s="2"/>
      <c r="G53" s="2"/>
      <c r="H53" s="2"/>
      <c r="I53" s="2"/>
      <c r="J53" s="1"/>
      <c r="K53" s="2"/>
      <c r="L53" s="2"/>
      <c r="M53" s="2"/>
      <c r="N53" s="2"/>
      <c r="O53" s="2"/>
      <c r="P53" s="2"/>
      <c r="Q53" s="2"/>
    </row>
    <row r="54" spans="1:17" ht="15.75" customHeight="1">
      <c r="A54" s="2"/>
      <c r="B54" s="1"/>
      <c r="C54" s="202">
        <f>COUNTA(C8:C47)</f>
        <v>32</v>
      </c>
      <c r="D54" s="2"/>
      <c r="E54" s="2"/>
      <c r="F54" s="2"/>
      <c r="G54" s="2"/>
      <c r="H54" s="2"/>
      <c r="I54" s="202">
        <f>COUNTA(I8:I47)</f>
        <v>8</v>
      </c>
      <c r="J54" s="1"/>
      <c r="K54" s="202">
        <f>COUNTA(K8:K47)</f>
        <v>13</v>
      </c>
      <c r="L54" s="2"/>
      <c r="M54" s="2"/>
      <c r="N54" s="202">
        <f>COUNTIF(N8:N47,N55)</f>
        <v>2</v>
      </c>
      <c r="O54" s="2"/>
      <c r="P54" s="2"/>
      <c r="Q54" s="2"/>
    </row>
    <row r="55" spans="1:17" ht="15.75" customHeight="1">
      <c r="A55" s="2"/>
      <c r="B55" s="1"/>
      <c r="C55" s="2"/>
      <c r="D55" s="2"/>
      <c r="E55" s="2"/>
      <c r="F55" s="2"/>
      <c r="G55" s="2"/>
      <c r="H55" s="2"/>
      <c r="I55" s="2"/>
      <c r="J55" s="1"/>
      <c r="K55" s="2"/>
      <c r="L55" s="2"/>
      <c r="M55" s="2"/>
      <c r="N55" s="2" t="s">
        <v>1407</v>
      </c>
      <c r="O55" s="2"/>
      <c r="P55" s="2"/>
      <c r="Q55" s="2"/>
    </row>
  </sheetData>
  <autoFilter ref="A7:Q20" xr:uid="{00000000-0009-0000-0000-000003000000}"/>
  <mergeCells count="98">
    <mergeCell ref="P37:P38"/>
    <mergeCell ref="Q37:Q38"/>
    <mergeCell ref="A39:B39"/>
    <mergeCell ref="P44:P45"/>
    <mergeCell ref="Q44:Q45"/>
    <mergeCell ref="P41:P43"/>
    <mergeCell ref="Q41:Q43"/>
    <mergeCell ref="J41:J43"/>
    <mergeCell ref="J44:J45"/>
    <mergeCell ref="K44:K45"/>
    <mergeCell ref="L44:L45"/>
    <mergeCell ref="M44:M45"/>
    <mergeCell ref="N44:N45"/>
    <mergeCell ref="O44:O45"/>
    <mergeCell ref="N37:N38"/>
    <mergeCell ref="O37:O38"/>
    <mergeCell ref="P31:P33"/>
    <mergeCell ref="Q31:Q33"/>
    <mergeCell ref="J28:J30"/>
    <mergeCell ref="J31:J33"/>
    <mergeCell ref="K31:K33"/>
    <mergeCell ref="L31:L33"/>
    <mergeCell ref="M31:M33"/>
    <mergeCell ref="N31:N33"/>
    <mergeCell ref="O31:O33"/>
    <mergeCell ref="J25:J27"/>
    <mergeCell ref="K25:K27"/>
    <mergeCell ref="P25:P27"/>
    <mergeCell ref="K28:K30"/>
    <mergeCell ref="L28:L30"/>
    <mergeCell ref="M28:M30"/>
    <mergeCell ref="N28:N30"/>
    <mergeCell ref="O28:O30"/>
    <mergeCell ref="P28:P30"/>
    <mergeCell ref="L25:L27"/>
    <mergeCell ref="M25:M27"/>
    <mergeCell ref="P46:P47"/>
    <mergeCell ref="Q46:Q47"/>
    <mergeCell ref="P50:P51"/>
    <mergeCell ref="Q50:Q51"/>
    <mergeCell ref="J46:J47"/>
    <mergeCell ref="J50:J51"/>
    <mergeCell ref="K50:K51"/>
    <mergeCell ref="L50:L51"/>
    <mergeCell ref="M50:M51"/>
    <mergeCell ref="N50:N51"/>
    <mergeCell ref="O50:O51"/>
    <mergeCell ref="K46:K47"/>
    <mergeCell ref="L46:L47"/>
    <mergeCell ref="M46:M47"/>
    <mergeCell ref="N46:N47"/>
    <mergeCell ref="O46:O47"/>
    <mergeCell ref="K41:K43"/>
    <mergeCell ref="L41:L43"/>
    <mergeCell ref="M41:M43"/>
    <mergeCell ref="N41:N43"/>
    <mergeCell ref="O41:O43"/>
    <mergeCell ref="J35:J36"/>
    <mergeCell ref="J37:J38"/>
    <mergeCell ref="K37:K38"/>
    <mergeCell ref="L37:L38"/>
    <mergeCell ref="M37:M38"/>
    <mergeCell ref="Q23:Q24"/>
    <mergeCell ref="Q25:Q26"/>
    <mergeCell ref="K35:K36"/>
    <mergeCell ref="L35:L36"/>
    <mergeCell ref="M35:M36"/>
    <mergeCell ref="N35:N36"/>
    <mergeCell ref="O35:O36"/>
    <mergeCell ref="P35:P36"/>
    <mergeCell ref="Q35:Q36"/>
    <mergeCell ref="N25:N27"/>
    <mergeCell ref="O25:O27"/>
    <mergeCell ref="M23:M24"/>
    <mergeCell ref="N23:N24"/>
    <mergeCell ref="O23:O24"/>
    <mergeCell ref="P23:P24"/>
    <mergeCell ref="Q28:Q29"/>
    <mergeCell ref="A8:B8"/>
    <mergeCell ref="A21:B21"/>
    <mergeCell ref="J23:J24"/>
    <mergeCell ref="K23:K24"/>
    <mergeCell ref="L23:L24"/>
    <mergeCell ref="Q5:Q6"/>
    <mergeCell ref="B3:Q3"/>
    <mergeCell ref="B4:Q4"/>
    <mergeCell ref="A5:A6"/>
    <mergeCell ref="B5:C5"/>
    <mergeCell ref="D5:E5"/>
    <mergeCell ref="F5:F6"/>
    <mergeCell ref="G5:G6"/>
    <mergeCell ref="H5:H6"/>
    <mergeCell ref="I5:I6"/>
    <mergeCell ref="J5:J6"/>
    <mergeCell ref="K5:L5"/>
    <mergeCell ref="M5:N5"/>
    <mergeCell ref="O5:O6"/>
    <mergeCell ref="P5:P6"/>
  </mergeCells>
  <pageMargins left="0.35" right="0.19685039370078741" top="0.35" bottom="0.35433070866141736" header="0" footer="0"/>
  <pageSetup paperSize="9" fitToHeight="0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T20"/>
  <sheetViews>
    <sheetView view="pageBreakPreview" zoomScale="130" zoomScaleNormal="100" zoomScaleSheetLayoutView="130" workbookViewId="0">
      <pane ySplit="6" topLeftCell="A7" activePane="bottomLeft" state="frozen"/>
      <selection pane="bottomLeft" activeCell="D13" sqref="D13"/>
    </sheetView>
  </sheetViews>
  <sheetFormatPr defaultColWidth="11.25" defaultRowHeight="15" customHeight="1"/>
  <cols>
    <col min="1" max="1" width="4.625" customWidth="1"/>
    <col min="2" max="2" width="15.375" customWidth="1"/>
    <col min="3" max="3" width="8.5" customWidth="1"/>
    <col min="4" max="4" width="6.875" customWidth="1"/>
    <col min="5" max="5" width="5.125" customWidth="1"/>
    <col min="6" max="6" width="5.875" customWidth="1"/>
    <col min="7" max="7" width="5.125" customWidth="1"/>
    <col min="8" max="8" width="4.5" customWidth="1"/>
    <col min="9" max="9" width="6.375" customWidth="1"/>
    <col min="10" max="11" width="5.125" customWidth="1"/>
    <col min="12" max="12" width="8.625" customWidth="1"/>
    <col min="13" max="13" width="7.75" customWidth="1"/>
    <col min="14" max="14" width="6.25" customWidth="1"/>
    <col min="15" max="15" width="7" customWidth="1"/>
    <col min="16" max="16" width="5.125" customWidth="1"/>
    <col min="17" max="17" width="6.125" customWidth="1"/>
    <col min="18" max="18" width="11.375" customWidth="1"/>
    <col min="19" max="19" width="3.75" customWidth="1"/>
    <col min="20" max="20" width="6" customWidth="1"/>
  </cols>
  <sheetData>
    <row r="1" spans="1:20" ht="18.75" customHeight="1">
      <c r="A1" s="171" t="s">
        <v>0</v>
      </c>
      <c r="B1" s="171"/>
      <c r="C1" s="171"/>
      <c r="D1" s="203"/>
      <c r="E1" s="203"/>
      <c r="F1" s="174"/>
      <c r="G1" s="203"/>
      <c r="H1" s="203"/>
      <c r="I1" s="174"/>
      <c r="J1" s="203"/>
      <c r="K1" s="203"/>
      <c r="L1" s="174"/>
      <c r="M1" s="203"/>
      <c r="N1" s="203"/>
      <c r="O1" s="172"/>
      <c r="P1" s="172"/>
      <c r="Q1" s="172"/>
      <c r="R1" s="172"/>
      <c r="S1" s="171"/>
      <c r="T1" s="171"/>
    </row>
    <row r="2" spans="1:20" ht="18.75" customHeight="1">
      <c r="A2" s="173" t="s">
        <v>1336</v>
      </c>
      <c r="B2" s="171"/>
      <c r="C2" s="171"/>
      <c r="D2" s="203"/>
      <c r="E2" s="203"/>
      <c r="F2" s="174"/>
      <c r="G2" s="203"/>
      <c r="H2" s="203"/>
      <c r="I2" s="174"/>
      <c r="J2" s="203"/>
      <c r="K2" s="203"/>
      <c r="L2" s="174"/>
      <c r="M2" s="203"/>
      <c r="N2" s="203"/>
      <c r="O2" s="174"/>
      <c r="P2" s="174"/>
      <c r="Q2" s="174"/>
      <c r="R2" s="174"/>
      <c r="S2" s="171"/>
      <c r="T2" s="171"/>
    </row>
    <row r="3" spans="1:20" ht="18.75">
      <c r="A3" s="273" t="s">
        <v>1417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173"/>
      <c r="T3" s="173"/>
    </row>
    <row r="4" spans="1:20" ht="21" customHeight="1">
      <c r="A4" s="275" t="s">
        <v>1337</v>
      </c>
      <c r="B4" s="275" t="s">
        <v>1408</v>
      </c>
      <c r="C4" s="276" t="s">
        <v>1409</v>
      </c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  <c r="O4" s="277" t="s">
        <v>1410</v>
      </c>
      <c r="P4" s="278"/>
      <c r="Q4" s="279"/>
      <c r="R4" s="275" t="s">
        <v>1338</v>
      </c>
      <c r="S4" s="204"/>
      <c r="T4" s="272" t="s">
        <v>1411</v>
      </c>
    </row>
    <row r="5" spans="1:20" ht="18.75" customHeight="1">
      <c r="A5" s="238"/>
      <c r="B5" s="238"/>
      <c r="C5" s="271" t="s">
        <v>1309</v>
      </c>
      <c r="D5" s="248"/>
      <c r="E5" s="249"/>
      <c r="F5" s="271" t="s">
        <v>1307</v>
      </c>
      <c r="G5" s="248"/>
      <c r="H5" s="249"/>
      <c r="I5" s="271" t="s">
        <v>1308</v>
      </c>
      <c r="J5" s="248"/>
      <c r="K5" s="249"/>
      <c r="L5" s="271" t="s">
        <v>1310</v>
      </c>
      <c r="M5" s="248"/>
      <c r="N5" s="249"/>
      <c r="O5" s="280"/>
      <c r="P5" s="274"/>
      <c r="Q5" s="281"/>
      <c r="R5" s="238"/>
      <c r="S5" s="205"/>
      <c r="T5" s="238"/>
    </row>
    <row r="6" spans="1:20" ht="18.75" customHeight="1">
      <c r="A6" s="206">
        <v>1</v>
      </c>
      <c r="B6" s="206">
        <v>2</v>
      </c>
      <c r="C6" s="207">
        <v>3</v>
      </c>
      <c r="D6" s="208" t="s">
        <v>1305</v>
      </c>
      <c r="E6" s="209" t="s">
        <v>1306</v>
      </c>
      <c r="F6" s="207">
        <v>4</v>
      </c>
      <c r="G6" s="208" t="s">
        <v>1305</v>
      </c>
      <c r="H6" s="209" t="s">
        <v>1306</v>
      </c>
      <c r="I6" s="207">
        <v>5</v>
      </c>
      <c r="J6" s="208" t="s">
        <v>1305</v>
      </c>
      <c r="K6" s="209" t="s">
        <v>1306</v>
      </c>
      <c r="L6" s="207">
        <v>6</v>
      </c>
      <c r="M6" s="208" t="s">
        <v>1305</v>
      </c>
      <c r="N6" s="209" t="s">
        <v>1306</v>
      </c>
      <c r="O6" s="207">
        <v>7</v>
      </c>
      <c r="P6" s="208" t="s">
        <v>1305</v>
      </c>
      <c r="Q6" s="209" t="s">
        <v>1306</v>
      </c>
      <c r="R6" s="206">
        <v>8</v>
      </c>
      <c r="S6" s="210"/>
      <c r="T6" s="210"/>
    </row>
    <row r="7" spans="1:20" ht="20.25" customHeight="1">
      <c r="A7" s="175">
        <v>1</v>
      </c>
      <c r="B7" s="211" t="s">
        <v>37</v>
      </c>
      <c r="C7" s="212">
        <v>179</v>
      </c>
      <c r="D7" s="213">
        <f>COUNTIFS('PL1(Full)'!$B$7:$B$1298,$B7,'PL1(Full)'!$H$7:$H$1298,D$6)</f>
        <v>170</v>
      </c>
      <c r="E7" s="214">
        <f>COUNTIFS('PL1(Full)'!$B$7:$B$1298,$B7,'PL1(Full)'!$H$7:$H$1298,E$6)</f>
        <v>9</v>
      </c>
      <c r="F7" s="212">
        <f>COUNTIF(pl_babe,$F$5)</f>
        <v>3</v>
      </c>
      <c r="G7" s="213">
        <f>COUNTIFS('PL1(Full)'!$B$7:$B$1298,$B7,'PL1(Full)'!$H$7:$H$1298,G$6,'PL1(Full)'!$W$7:$W$1298,$F$5)</f>
        <v>3</v>
      </c>
      <c r="H7" s="214">
        <f>COUNTIFS('PL1(Full)'!$B$7:$B$1298,$B7,'PL1(Full)'!$H$7:$H$1298,H$6,'PL1(Full)'!$W$7:$W$1298,$F$5)</f>
        <v>0</v>
      </c>
      <c r="I7" s="212">
        <f>COUNTIF(pl_babe,I$5)</f>
        <v>22</v>
      </c>
      <c r="J7" s="213">
        <f>COUNTIFS('PL1(Full)'!$B$7:$B$1298,$B7,'PL1(Full)'!$H$7:$H$1298,J$6,'PL1(Full)'!$W$7:$W$1298,$I$5)</f>
        <v>20</v>
      </c>
      <c r="K7" s="214">
        <f>COUNTIFS('PL1(Full)'!$B$7:$B$1298,$B7,'PL1(Full)'!$H$7:$H$1298,K$6,'PL1(Full)'!$W$7:$W$1298,$I$5)</f>
        <v>2</v>
      </c>
      <c r="L7" s="212">
        <f>COUNTIF(pl_babe,L$5)</f>
        <v>154</v>
      </c>
      <c r="M7" s="213">
        <f>COUNTIFS('PL1(Full)'!$B$7:$B$1298,$B7,'PL1(Full)'!$H$7:$H$1298,M$6,'PL1(Full)'!$W$7:$W$1298,$L$5)</f>
        <v>147</v>
      </c>
      <c r="N7" s="214">
        <f>COUNTIFS('PL1(Full)'!$B$7:$B$1298,$B7,'PL1(Full)'!$H$7:$H$1298,N$6,'PL1(Full)'!$W$7:$W$1298,$L$5)</f>
        <v>7</v>
      </c>
      <c r="O7" s="212">
        <f t="shared" ref="O7:O14" si="0">SUM(P7:Q7)</f>
        <v>120</v>
      </c>
      <c r="P7" s="213">
        <f>COUNTIFS('PL1(Full)'!$B$7:$B$1298,$B7,'PL1(Full)'!$H$7:$H$1298,P$6,'PL1(Full)'!$U$7:$U$1298,"X")</f>
        <v>116</v>
      </c>
      <c r="Q7" s="213">
        <f>COUNTIFS('PL1(Full)'!$B$7:$B$1298,$B7,'PL1(Full)'!$H$7:$H$1298,Q$6,'PL1(Full)'!$U$7:$U$1298,"X")</f>
        <v>4</v>
      </c>
      <c r="R7" s="215">
        <f t="shared" ref="R7:R15" si="1">O7/C7</f>
        <v>0.67039106145251393</v>
      </c>
      <c r="S7" s="171"/>
      <c r="T7" s="216" t="str">
        <f t="shared" ref="T7:T15" si="2">IF(AND(C7=D7+E7,F7+I7+L7=G7+H7+J7+K7+M7+N7),"Đúng","Sai")</f>
        <v>Đúng</v>
      </c>
    </row>
    <row r="8" spans="1:20" ht="20.25" customHeight="1">
      <c r="A8" s="175">
        <v>2</v>
      </c>
      <c r="B8" s="211" t="s">
        <v>261</v>
      </c>
      <c r="C8" s="212">
        <v>139</v>
      </c>
      <c r="D8" s="213">
        <f>COUNTIFS('PL1(Full)'!$B$7:$B$1298,$B8,'PL1(Full)'!$H$7:$H$1298,D$6)</f>
        <v>133</v>
      </c>
      <c r="E8" s="214">
        <f>COUNTIFS('PL1(Full)'!$B$7:$B$1298,$B8,'PL1(Full)'!$H$7:$H$1298,E$6)</f>
        <v>6</v>
      </c>
      <c r="F8" s="212">
        <f>COUNTIF(pl_bachthong,F$5)</f>
        <v>0</v>
      </c>
      <c r="G8" s="213">
        <f>COUNTIFS('PL1(Full)'!$B$7:$B$1298,$B8,'PL1(Full)'!$H$7:$H$1298,G$6,'PL1(Full)'!$W$7:$W$1298,$F$5)</f>
        <v>0</v>
      </c>
      <c r="H8" s="214">
        <f>COUNTIFS('PL1(Full)'!$B$7:$B$1298,$B8,'PL1(Full)'!$H$7:$H$1298,H$6,'PL1(Full)'!$W$7:$W$1298,$F$5)</f>
        <v>0</v>
      </c>
      <c r="I8" s="212">
        <f>COUNTIF(pl_bachthong,I$5)</f>
        <v>12</v>
      </c>
      <c r="J8" s="213">
        <f>COUNTIFS('PL1(Full)'!$B$7:$B$1298,$B8,'PL1(Full)'!$H$7:$H$1298,J$6,'PL1(Full)'!$W$7:$W$1298,$I$5)</f>
        <v>10</v>
      </c>
      <c r="K8" s="214">
        <f>COUNTIFS('PL1(Full)'!$B$7:$B$1298,$B8,'PL1(Full)'!$H$7:$H$1298,K$6,'PL1(Full)'!$W$7:$W$1298,$I$5)</f>
        <v>2</v>
      </c>
      <c r="L8" s="212">
        <f>COUNTIF(pl_bachthong,L$5)</f>
        <v>127</v>
      </c>
      <c r="M8" s="213">
        <f>COUNTIFS('PL1(Full)'!$B$7:$B$1298,$B8,'PL1(Full)'!$H$7:$H$1298,M$6,'PL1(Full)'!$W$7:$W$1298,$L$5)</f>
        <v>123</v>
      </c>
      <c r="N8" s="214">
        <f>COUNTIFS('PL1(Full)'!$B$7:$B$1298,$B8,'PL1(Full)'!$H$7:$H$1298,N$6,'PL1(Full)'!$W$7:$W$1298,$L$5)</f>
        <v>4</v>
      </c>
      <c r="O8" s="212">
        <f t="shared" si="0"/>
        <v>103</v>
      </c>
      <c r="P8" s="213">
        <f>COUNTIFS('PL1(Full)'!$B$7:$B$1298,$B8,'PL1(Full)'!$H$7:$H$1298,P$6,'PL1(Full)'!$U$7:$U$1298,"X")</f>
        <v>102</v>
      </c>
      <c r="Q8" s="213">
        <f>COUNTIFS('PL1(Full)'!$B$7:$B$1298,$B8,'PL1(Full)'!$H$7:$H$1298,Q$6,'PL1(Full)'!$U$7:$U$1298,"X")</f>
        <v>1</v>
      </c>
      <c r="R8" s="215">
        <f t="shared" si="1"/>
        <v>0.74100719424460426</v>
      </c>
      <c r="S8" s="171"/>
      <c r="T8" s="216" t="str">
        <f t="shared" si="2"/>
        <v>Đúng</v>
      </c>
    </row>
    <row r="9" spans="1:20" ht="20.25" customHeight="1">
      <c r="A9" s="175">
        <v>3</v>
      </c>
      <c r="B9" s="211" t="s">
        <v>409</v>
      </c>
      <c r="C9" s="212">
        <v>227</v>
      </c>
      <c r="D9" s="213">
        <f>COUNTIFS('PL1(Full)'!$B$7:$B$1298,$B9,'PL1(Full)'!$H$7:$H$1298,D$6)</f>
        <v>202</v>
      </c>
      <c r="E9" s="214">
        <f>COUNTIFS('PL1(Full)'!$B$7:$B$1298,$B9,'PL1(Full)'!$H$7:$H$1298,E$6)</f>
        <v>25</v>
      </c>
      <c r="F9" s="212">
        <f>COUNTIF(pl_chodon,F$5)</f>
        <v>1</v>
      </c>
      <c r="G9" s="213">
        <f>COUNTIFS('PL1(Full)'!$B$7:$B$1298,$B9,'PL1(Full)'!$H$7:$H$1298,G$6,'PL1(Full)'!$W$7:$W$1298,$F$5)</f>
        <v>1</v>
      </c>
      <c r="H9" s="214">
        <f>COUNTIFS('PL1(Full)'!$B$7:$B$1298,$B9,'PL1(Full)'!$H$7:$H$1298,H$6,'PL1(Full)'!$W$7:$W$1298,$F$5)</f>
        <v>0</v>
      </c>
      <c r="I9" s="212">
        <f>COUNTIF(pl_chodon,I$5)</f>
        <v>17</v>
      </c>
      <c r="J9" s="213">
        <f>COUNTIFS('PL1(Full)'!$B$7:$B$1298,$B9,'PL1(Full)'!$H$7:$H$1298,J$6,'PL1(Full)'!$W$7:$W$1298,$I$5)</f>
        <v>17</v>
      </c>
      <c r="K9" s="214">
        <f>COUNTIFS('PL1(Full)'!$B$7:$B$1298,$B9,'PL1(Full)'!$H$7:$H$1298,K$6,'PL1(Full)'!$W$7:$W$1298,$I$5)</f>
        <v>0</v>
      </c>
      <c r="L9" s="212">
        <f>COUNTIF(pl_chodon,L$5)</f>
        <v>209</v>
      </c>
      <c r="M9" s="213">
        <f>COUNTIFS('PL1(Full)'!$B$7:$B$1298,$B9,'PL1(Full)'!$H$7:$H$1298,M$6,'PL1(Full)'!$W$7:$W$1298,$L$5)</f>
        <v>184</v>
      </c>
      <c r="N9" s="214">
        <f>COUNTIFS('PL1(Full)'!$B$7:$B$1298,$B9,'PL1(Full)'!$H$7:$H$1298,N$6,'PL1(Full)'!$W$7:$W$1298,$L$5)</f>
        <v>25</v>
      </c>
      <c r="O9" s="212">
        <f t="shared" si="0"/>
        <v>173</v>
      </c>
      <c r="P9" s="213">
        <f>COUNTIFS('PL1(Full)'!$B$7:$B$1298,$B9,'PL1(Full)'!$H$7:$H$1298,P$6,'PL1(Full)'!$U$7:$U$1298,"X")</f>
        <v>152</v>
      </c>
      <c r="Q9" s="213">
        <f>COUNTIFS('PL1(Full)'!$B$7:$B$1298,$B9,'PL1(Full)'!$H$7:$H$1298,Q$6,'PL1(Full)'!$U$7:$U$1298,"X")</f>
        <v>21</v>
      </c>
      <c r="R9" s="215">
        <f t="shared" si="1"/>
        <v>0.76211453744493396</v>
      </c>
      <c r="S9" s="171"/>
      <c r="T9" s="216" t="str">
        <f t="shared" si="2"/>
        <v>Đúng</v>
      </c>
    </row>
    <row r="10" spans="1:20" ht="20.25" customHeight="1">
      <c r="A10" s="175">
        <v>4</v>
      </c>
      <c r="B10" s="211" t="s">
        <v>637</v>
      </c>
      <c r="C10" s="212">
        <v>153</v>
      </c>
      <c r="D10" s="213">
        <f>COUNTIFS('PL1(Full)'!$B$7:$B$1298,$B10,'PL1(Full)'!$H$7:$H$1298,D$6)</f>
        <v>141</v>
      </c>
      <c r="E10" s="214">
        <f>COUNTIFS('PL1(Full)'!$B$7:$B$1298,$B10,'PL1(Full)'!$H$7:$H$1298,E$6)</f>
        <v>12</v>
      </c>
      <c r="F10" s="212">
        <f>COUNTIF(pl_chomoi,F$5)</f>
        <v>1</v>
      </c>
      <c r="G10" s="213">
        <f>COUNTIFS('PL1(Full)'!$B$7:$B$1298,$B10,'PL1(Full)'!$H$7:$H$1298,G$6,'PL1(Full)'!$W$7:$W$1298,$F$5)</f>
        <v>1</v>
      </c>
      <c r="H10" s="214">
        <f>COUNTIFS('PL1(Full)'!$B$7:$B$1298,$B10,'PL1(Full)'!$H$7:$H$1298,H$6,'PL1(Full)'!$W$7:$W$1298,$F$5)</f>
        <v>0</v>
      </c>
      <c r="I10" s="212">
        <f>COUNTIF(pl_chomoi,I$5)</f>
        <v>20</v>
      </c>
      <c r="J10" s="213">
        <f>COUNTIFS('PL1(Full)'!$B$7:$B$1298,$B10,'PL1(Full)'!$H$7:$H$1298,J$6,'PL1(Full)'!$W$7:$W$1298,$I$5)</f>
        <v>17</v>
      </c>
      <c r="K10" s="214">
        <f>COUNTIFS('PL1(Full)'!$B$7:$B$1298,$B10,'PL1(Full)'!$H$7:$H$1298,K$6,'PL1(Full)'!$W$7:$W$1298,$I$5)</f>
        <v>3</v>
      </c>
      <c r="L10" s="212">
        <f>COUNTIF(pl_chomoi,L$5)</f>
        <v>132</v>
      </c>
      <c r="M10" s="213">
        <f>COUNTIFS('PL1(Full)'!$B$7:$B$1298,$B10,'PL1(Full)'!$H$7:$H$1298,M$6,'PL1(Full)'!$W$7:$W$1298,$L$5)</f>
        <v>123</v>
      </c>
      <c r="N10" s="214">
        <f>COUNTIFS('PL1(Full)'!$B$7:$B$1298,$B10,'PL1(Full)'!$H$7:$H$1298,N$6,'PL1(Full)'!$W$7:$W$1298,$L$5)</f>
        <v>9</v>
      </c>
      <c r="O10" s="212">
        <f t="shared" si="0"/>
        <v>97</v>
      </c>
      <c r="P10" s="213">
        <f>COUNTIFS('PL1(Full)'!$B$7:$B$1298,$B10,'PL1(Full)'!$H$7:$H$1298,P$6,'PL1(Full)'!$U$7:$U$1298,"X")</f>
        <v>95</v>
      </c>
      <c r="Q10" s="213">
        <f>COUNTIFS('PL1(Full)'!$B$7:$B$1298,$B10,'PL1(Full)'!$H$7:$H$1298,Q$6,'PL1(Full)'!$U$7:$U$1298,"X")</f>
        <v>2</v>
      </c>
      <c r="R10" s="215">
        <f t="shared" si="1"/>
        <v>0.63398692810457513</v>
      </c>
      <c r="S10" s="171"/>
      <c r="T10" s="216" t="str">
        <f t="shared" si="2"/>
        <v>Đúng</v>
      </c>
    </row>
    <row r="11" spans="1:20" ht="20.25" customHeight="1">
      <c r="A11" s="175">
        <v>5</v>
      </c>
      <c r="B11" s="211" t="s">
        <v>784</v>
      </c>
      <c r="C11" s="212">
        <v>222</v>
      </c>
      <c r="D11" s="213">
        <f>COUNTIFS('PL1(Full)'!$B$7:$B$1298,$B11,'PL1(Full)'!$H$7:$H$1298,D$6)</f>
        <v>209</v>
      </c>
      <c r="E11" s="214">
        <f>COUNTIFS('PL1(Full)'!$B$7:$B$1298,$B11,'PL1(Full)'!$H$7:$H$1298,E$6)</f>
        <v>13</v>
      </c>
      <c r="F11" s="212">
        <f>COUNTIF(pl_nari,F$5)</f>
        <v>0</v>
      </c>
      <c r="G11" s="213">
        <f>COUNTIFS('PL1(Full)'!$B$7:$B$1298,$B11,'PL1(Full)'!$H$7:$H$1298,G$6,'PL1(Full)'!$W$7:$W$1298,$F$5)</f>
        <v>0</v>
      </c>
      <c r="H11" s="214">
        <f>COUNTIFS('PL1(Full)'!$B$7:$B$1298,$B11,'PL1(Full)'!$H$7:$H$1298,H$6,'PL1(Full)'!$W$7:$W$1298,$F$5)</f>
        <v>0</v>
      </c>
      <c r="I11" s="212">
        <f>COUNTIF(pl_nari,I$5)</f>
        <v>4</v>
      </c>
      <c r="J11" s="213">
        <f>COUNTIFS('PL1(Full)'!$B$7:$B$1298,$B11,'PL1(Full)'!$H$7:$H$1298,J$6,'PL1(Full)'!$W$7:$W$1298,$I$5)</f>
        <v>3</v>
      </c>
      <c r="K11" s="214">
        <f>COUNTIFS('PL1(Full)'!$B$7:$B$1298,$B11,'PL1(Full)'!$H$7:$H$1298,K$6,'PL1(Full)'!$W$7:$W$1298,$I$5)</f>
        <v>1</v>
      </c>
      <c r="L11" s="212">
        <f>COUNTIF(pl_nari,L$5)</f>
        <v>218</v>
      </c>
      <c r="M11" s="213">
        <f>COUNTIFS('PL1(Full)'!$B$7:$B$1298,$B11,'PL1(Full)'!$H$7:$H$1298,M$6,'PL1(Full)'!$W$7:$W$1298,$L$5)</f>
        <v>206</v>
      </c>
      <c r="N11" s="214">
        <f>COUNTIFS('PL1(Full)'!$B$7:$B$1298,$B11,'PL1(Full)'!$H$7:$H$1298,N$6,'PL1(Full)'!$W$7:$W$1298,$L$5)</f>
        <v>12</v>
      </c>
      <c r="O11" s="212">
        <f t="shared" si="0"/>
        <v>200</v>
      </c>
      <c r="P11" s="213">
        <f>COUNTIFS('PL1(Full)'!$B$7:$B$1298,$B11,'PL1(Full)'!$H$7:$H$1298,P$6,'PL1(Full)'!$U$7:$U$1298,"X")</f>
        <v>188</v>
      </c>
      <c r="Q11" s="213">
        <f>COUNTIFS('PL1(Full)'!$B$7:$B$1298,$B11,'PL1(Full)'!$H$7:$H$1298,Q$6,'PL1(Full)'!$U$7:$U$1298,"X")</f>
        <v>12</v>
      </c>
      <c r="R11" s="215">
        <f t="shared" si="1"/>
        <v>0.90090090090090091</v>
      </c>
      <c r="S11" s="171"/>
      <c r="T11" s="216" t="str">
        <f t="shared" si="2"/>
        <v>Đúng</v>
      </c>
    </row>
    <row r="12" spans="1:20" ht="20.25" customHeight="1">
      <c r="A12" s="175">
        <v>6</v>
      </c>
      <c r="B12" s="211" t="s">
        <v>1001</v>
      </c>
      <c r="C12" s="212">
        <v>142</v>
      </c>
      <c r="D12" s="213">
        <f>COUNTIFS('PL1(Full)'!$B$7:$B$1298,$B12,'PL1(Full)'!$H$7:$H$1298,D$6)</f>
        <v>112</v>
      </c>
      <c r="E12" s="214">
        <f>COUNTIFS('PL1(Full)'!$B$7:$B$1298,$B12,'PL1(Full)'!$H$7:$H$1298,E$6)</f>
        <v>30</v>
      </c>
      <c r="F12" s="212">
        <f>COUNTIF(pl_nganson,F$5)</f>
        <v>2</v>
      </c>
      <c r="G12" s="213">
        <f>COUNTIFS('PL1(Full)'!$B$7:$B$1298,$B12,'PL1(Full)'!$H$7:$H$1298,G$6,'PL1(Full)'!$W$7:$W$1298,$F$5)</f>
        <v>2</v>
      </c>
      <c r="H12" s="214">
        <f>COUNTIFS('PL1(Full)'!$B$7:$B$1298,$B12,'PL1(Full)'!$H$7:$H$1298,H$6,'PL1(Full)'!$W$7:$W$1298,$F$5)</f>
        <v>0</v>
      </c>
      <c r="I12" s="212">
        <f>COUNTIF(pl_nganson,I$5)</f>
        <v>7</v>
      </c>
      <c r="J12" s="213">
        <f>COUNTIFS('PL1(Full)'!$B$7:$B$1298,$B12,'PL1(Full)'!$H$7:$H$1298,J$6,'PL1(Full)'!$W$7:$W$1298,$I$5)</f>
        <v>6</v>
      </c>
      <c r="K12" s="214">
        <f>COUNTIFS('PL1(Full)'!$B$7:$B$1298,$B12,'PL1(Full)'!$H$7:$H$1298,K$6,'PL1(Full)'!$W$7:$W$1298,$I$5)</f>
        <v>1</v>
      </c>
      <c r="L12" s="212">
        <f>COUNTIF(pl_nganson,L$5)</f>
        <v>133</v>
      </c>
      <c r="M12" s="213">
        <f>COUNTIFS('PL1(Full)'!$B$7:$B$1298,$B12,'PL1(Full)'!$H$7:$H$1298,M$6,'PL1(Full)'!$W$7:$W$1298,$L$5)</f>
        <v>104</v>
      </c>
      <c r="N12" s="214">
        <f>COUNTIFS('PL1(Full)'!$B$7:$B$1298,$B12,'PL1(Full)'!$H$7:$H$1298,N$6,'PL1(Full)'!$W$7:$W$1298,$L$5)</f>
        <v>29</v>
      </c>
      <c r="O12" s="212">
        <f t="shared" si="0"/>
        <v>118</v>
      </c>
      <c r="P12" s="213">
        <f>COUNTIFS('PL1(Full)'!$B$7:$B$1298,$B12,'PL1(Full)'!$H$7:$H$1298,P$6,'PL1(Full)'!$U$7:$U$1298,"X")</f>
        <v>98</v>
      </c>
      <c r="Q12" s="213">
        <f>COUNTIFS('PL1(Full)'!$B$7:$B$1298,$B12,'PL1(Full)'!$H$7:$H$1298,Q$6,'PL1(Full)'!$U$7:$U$1298,"X")</f>
        <v>20</v>
      </c>
      <c r="R12" s="215">
        <f t="shared" si="1"/>
        <v>0.83098591549295775</v>
      </c>
      <c r="S12" s="171"/>
      <c r="T12" s="216" t="str">
        <f t="shared" si="2"/>
        <v>Đúng</v>
      </c>
    </row>
    <row r="13" spans="1:20" ht="20.25" customHeight="1">
      <c r="A13" s="175">
        <v>7</v>
      </c>
      <c r="B13" s="211" t="s">
        <v>1130</v>
      </c>
      <c r="C13" s="212">
        <v>113</v>
      </c>
      <c r="D13" s="213">
        <f>COUNTIFS('PL1(Full)'!$B$7:$B$1298,$B13,'PL1(Full)'!$H$7:$H$1298,D$6)</f>
        <v>113</v>
      </c>
      <c r="E13" s="214">
        <f>COUNTIFS('PL1(Full)'!$B$7:$B$1298,$B13,'PL1(Full)'!$H$7:$H$1298,E$6)</f>
        <v>0</v>
      </c>
      <c r="F13" s="212">
        <f>COUNTIF(pl_pacnam,F$5)</f>
        <v>1</v>
      </c>
      <c r="G13" s="213">
        <f>COUNTIFS('PL1(Full)'!$B$7:$B$1298,$B13,'PL1(Full)'!$H$7:$H$1298,G$6,'PL1(Full)'!$W$7:$W$1298,$F$5)</f>
        <v>1</v>
      </c>
      <c r="H13" s="214">
        <f>COUNTIFS('PL1(Full)'!$B$7:$B$1298,$B13,'PL1(Full)'!$H$7:$H$1298,H$6,'PL1(Full)'!$W$7:$W$1298,$F$5)</f>
        <v>0</v>
      </c>
      <c r="I13" s="212">
        <f>COUNTIF(pl_pacnam,I$5)</f>
        <v>16</v>
      </c>
      <c r="J13" s="213">
        <f>COUNTIFS('PL1(Full)'!$B$7:$B$1298,$B13,'PL1(Full)'!$H$7:$H$1298,J$6,'PL1(Full)'!$W$7:$W$1298,$I$5)</f>
        <v>16</v>
      </c>
      <c r="K13" s="214">
        <f>COUNTIFS('PL1(Full)'!$B$7:$B$1298,$B13,'PL1(Full)'!$H$7:$H$1298,K$6,'PL1(Full)'!$W$7:$W$1298,$I$5)</f>
        <v>0</v>
      </c>
      <c r="L13" s="212">
        <f>COUNTIF(pl_pacnam,L$5)</f>
        <v>96</v>
      </c>
      <c r="M13" s="213">
        <f>COUNTIFS('PL1(Full)'!$B$7:$B$1298,$B13,'PL1(Full)'!$H$7:$H$1298,M$6,'PL1(Full)'!$W$7:$W$1298,$L$5)</f>
        <v>96</v>
      </c>
      <c r="N13" s="214">
        <f>COUNTIFS('PL1(Full)'!$B$7:$B$1298,$B13,'PL1(Full)'!$H$7:$H$1298,N$6,'PL1(Full)'!$W$7:$W$1298,$L$5)</f>
        <v>0</v>
      </c>
      <c r="O13" s="212">
        <f t="shared" si="0"/>
        <v>76</v>
      </c>
      <c r="P13" s="213">
        <f>COUNTIFS('PL1(Full)'!$B$7:$B$1298,$B13,'PL1(Full)'!$H$7:$H$1298,P$6,'PL1(Full)'!$U$7:$U$1298,"X")</f>
        <v>76</v>
      </c>
      <c r="Q13" s="213">
        <f>COUNTIFS('PL1(Full)'!$B$7:$B$1298,$B13,'PL1(Full)'!$H$7:$H$1298,Q$6,'PL1(Full)'!$U$7:$U$1298,"X")</f>
        <v>0</v>
      </c>
      <c r="R13" s="215">
        <f t="shared" si="1"/>
        <v>0.67256637168141598</v>
      </c>
      <c r="S13" s="171"/>
      <c r="T13" s="216" t="str">
        <f t="shared" si="2"/>
        <v>Đúng</v>
      </c>
    </row>
    <row r="14" spans="1:20" ht="20.25" customHeight="1">
      <c r="A14" s="175">
        <v>8</v>
      </c>
      <c r="B14" s="211" t="s">
        <v>1240</v>
      </c>
      <c r="C14" s="212">
        <v>117</v>
      </c>
      <c r="D14" s="213">
        <f>COUNTIFS('PL1(Full)'!$B$7:$B$1298,$B14,'PL1(Full)'!$H$7:$H$1298,D$6)</f>
        <v>24</v>
      </c>
      <c r="E14" s="214">
        <f>COUNTIFS('PL1(Full)'!$B$7:$B$1298,$B14,'PL1(Full)'!$H$7:$H$1298,E$6)</f>
        <v>93</v>
      </c>
      <c r="F14" s="212">
        <f>COUNTIF(pl_tpbackan,F$5)</f>
        <v>10</v>
      </c>
      <c r="G14" s="213">
        <f>COUNTIFS('PL1(Full)'!$B$7:$B$1298,$B14,'PL1(Full)'!$H$7:$H$1298,G$6,'PL1(Full)'!$W$7:$W$1298,$F$5)</f>
        <v>0</v>
      </c>
      <c r="H14" s="214">
        <f>COUNTIFS('PL1(Full)'!$B$7:$B$1298,$B14,'PL1(Full)'!$H$7:$H$1298,H$6,'PL1(Full)'!$W$7:$W$1298,$F$5)</f>
        <v>10</v>
      </c>
      <c r="I14" s="212">
        <f>COUNTIF(pl_tpbackan,I$5)</f>
        <v>15</v>
      </c>
      <c r="J14" s="213">
        <f>COUNTIFS('PL1(Full)'!$B$7:$B$1298,$B14,'PL1(Full)'!$H$7:$H$1298,J$6,'PL1(Full)'!$W$7:$W$1298,$I$5)</f>
        <v>5</v>
      </c>
      <c r="K14" s="214">
        <f>COUNTIFS('PL1(Full)'!$B$7:$B$1298,$B14,'PL1(Full)'!$H$7:$H$1298,K$6,'PL1(Full)'!$W$7:$W$1298,$I$5)</f>
        <v>10</v>
      </c>
      <c r="L14" s="212">
        <f>COUNTIF(pl_tpbackan,L$5)</f>
        <v>92</v>
      </c>
      <c r="M14" s="213">
        <f>COUNTIFS('PL1(Full)'!$B$7:$B$1298,$B14,'PL1(Full)'!$H$7:$H$1298,M$6,'PL1(Full)'!$W$7:$W$1298,$L$5)</f>
        <v>19</v>
      </c>
      <c r="N14" s="214">
        <f>COUNTIFS('PL1(Full)'!$B$7:$B$1298,$B14,'PL1(Full)'!$H$7:$H$1298,N$6,'PL1(Full)'!$W$7:$W$1298,$L$5)</f>
        <v>73</v>
      </c>
      <c r="O14" s="212">
        <f t="shared" si="0"/>
        <v>60</v>
      </c>
      <c r="P14" s="213">
        <f>COUNTIFS('PL1(Full)'!$B$7:$B$1298,$B14,'PL1(Full)'!$H$7:$H$1298,P$6,'PL1(Full)'!$U$7:$U$1298,"X")</f>
        <v>13</v>
      </c>
      <c r="Q14" s="213">
        <f>COUNTIFS('PL1(Full)'!$B$7:$B$1298,$B14,'PL1(Full)'!$H$7:$H$1298,Q$6,'PL1(Full)'!$U$7:$U$1298,"X")</f>
        <v>47</v>
      </c>
      <c r="R14" s="215">
        <f t="shared" si="1"/>
        <v>0.51282051282051277</v>
      </c>
      <c r="S14" s="171"/>
      <c r="T14" s="216" t="str">
        <f t="shared" si="2"/>
        <v>Đúng</v>
      </c>
    </row>
    <row r="15" spans="1:20" ht="27.75" customHeight="1">
      <c r="A15" s="270" t="s">
        <v>1339</v>
      </c>
      <c r="B15" s="249"/>
      <c r="C15" s="217">
        <f t="shared" ref="C15:Q15" si="3">SUM(C7:C14)</f>
        <v>1292</v>
      </c>
      <c r="D15" s="218">
        <f t="shared" si="3"/>
        <v>1104</v>
      </c>
      <c r="E15" s="219">
        <f t="shared" si="3"/>
        <v>188</v>
      </c>
      <c r="F15" s="217">
        <f t="shared" si="3"/>
        <v>18</v>
      </c>
      <c r="G15" s="218">
        <f t="shared" si="3"/>
        <v>8</v>
      </c>
      <c r="H15" s="219">
        <f t="shared" si="3"/>
        <v>10</v>
      </c>
      <c r="I15" s="217">
        <f t="shared" si="3"/>
        <v>113</v>
      </c>
      <c r="J15" s="218">
        <f t="shared" si="3"/>
        <v>94</v>
      </c>
      <c r="K15" s="219">
        <f t="shared" si="3"/>
        <v>19</v>
      </c>
      <c r="L15" s="217">
        <f t="shared" si="3"/>
        <v>1161</v>
      </c>
      <c r="M15" s="218">
        <f t="shared" si="3"/>
        <v>1002</v>
      </c>
      <c r="N15" s="219">
        <f t="shared" si="3"/>
        <v>159</v>
      </c>
      <c r="O15" s="217">
        <f t="shared" si="3"/>
        <v>947</v>
      </c>
      <c r="P15" s="218">
        <f t="shared" si="3"/>
        <v>840</v>
      </c>
      <c r="Q15" s="219">
        <f t="shared" si="3"/>
        <v>107</v>
      </c>
      <c r="R15" s="220">
        <f t="shared" si="1"/>
        <v>0.73297213622291024</v>
      </c>
      <c r="S15" s="221"/>
      <c r="T15" s="216" t="str">
        <f t="shared" si="2"/>
        <v>Đúng</v>
      </c>
    </row>
    <row r="16" spans="1:20" ht="23.25" customHeight="1">
      <c r="A16" s="222"/>
      <c r="B16" s="222"/>
      <c r="C16" s="222"/>
      <c r="D16" s="223"/>
      <c r="E16" s="223"/>
      <c r="F16" s="224"/>
      <c r="G16" s="223"/>
      <c r="H16" s="223"/>
      <c r="I16" s="224"/>
      <c r="J16" s="223"/>
      <c r="K16" s="223"/>
      <c r="L16" s="224"/>
      <c r="M16" s="223"/>
      <c r="N16" s="223"/>
      <c r="O16" s="224"/>
      <c r="P16" s="224"/>
      <c r="Q16" s="224"/>
      <c r="R16" s="224"/>
      <c r="S16" s="222"/>
      <c r="T16" s="222"/>
    </row>
    <row r="17" spans="1:20" ht="18.75" customHeight="1">
      <c r="A17" s="171"/>
      <c r="B17" s="171"/>
      <c r="C17" s="171"/>
      <c r="D17" s="203"/>
      <c r="E17" s="203"/>
      <c r="F17" s="174"/>
      <c r="G17" s="203"/>
      <c r="H17" s="203"/>
      <c r="I17" s="174"/>
      <c r="J17" s="203"/>
      <c r="K17" s="203"/>
      <c r="L17" s="174"/>
      <c r="M17" s="203"/>
      <c r="N17" s="203"/>
      <c r="O17" s="174"/>
      <c r="P17" s="174"/>
      <c r="Q17" s="174"/>
      <c r="R17" s="174"/>
      <c r="S17" s="171"/>
      <c r="T17" s="171"/>
    </row>
    <row r="18" spans="1:20" ht="18.75" customHeight="1">
      <c r="A18" s="171"/>
      <c r="B18" s="171"/>
      <c r="C18" s="171"/>
      <c r="D18" s="203"/>
      <c r="E18" s="203"/>
      <c r="F18" s="174"/>
      <c r="G18" s="203"/>
      <c r="H18" s="203"/>
      <c r="I18" s="174"/>
      <c r="J18" s="203"/>
      <c r="K18" s="203"/>
      <c r="L18" s="174"/>
      <c r="M18" s="203"/>
      <c r="N18" s="203"/>
      <c r="O18" s="174"/>
      <c r="P18" s="174"/>
      <c r="Q18" s="174"/>
      <c r="R18" s="174"/>
      <c r="S18" s="171"/>
      <c r="T18" s="171"/>
    </row>
    <row r="19" spans="1:20" ht="18.75" customHeight="1">
      <c r="A19" s="171"/>
      <c r="B19" s="171"/>
      <c r="C19" s="171"/>
      <c r="D19" s="203"/>
      <c r="E19" s="203"/>
      <c r="F19" s="174"/>
      <c r="G19" s="203"/>
      <c r="H19" s="203"/>
      <c r="I19" s="174"/>
      <c r="J19" s="203"/>
      <c r="K19" s="203"/>
      <c r="L19" s="174"/>
      <c r="M19" s="203"/>
      <c r="N19" s="203"/>
      <c r="O19" s="174"/>
      <c r="P19" s="174"/>
      <c r="Q19" s="174"/>
      <c r="R19" s="174"/>
      <c r="S19" s="171"/>
      <c r="T19" s="171"/>
    </row>
    <row r="20" spans="1:20" ht="18.75" customHeight="1">
      <c r="A20" s="171"/>
      <c r="B20" s="171"/>
      <c r="C20" s="171"/>
      <c r="D20" s="203"/>
      <c r="E20" s="203"/>
      <c r="F20" s="174"/>
      <c r="G20" s="203"/>
      <c r="H20" s="203"/>
      <c r="I20" s="174"/>
      <c r="J20" s="203"/>
      <c r="K20" s="203"/>
      <c r="L20" s="174"/>
      <c r="M20" s="203"/>
      <c r="N20" s="203"/>
      <c r="O20" s="174"/>
      <c r="P20" s="174"/>
      <c r="Q20" s="174"/>
      <c r="R20" s="174"/>
      <c r="S20" s="171"/>
      <c r="T20" s="171"/>
    </row>
  </sheetData>
  <sheetProtection algorithmName="SHA-512" hashValue="StgEw12GI1cN3RXBIpY4vzG8FGXdXWANvSFFH4QFlHrisyoQbTUR5nkhc8dKad6yK/LPxazxPIDmEFLnuQYNYw==" saltValue="qQPzJIe9YEVgtLKsL77X7A==" spinCount="100000" sheet="1" objects="1" scenarios="1"/>
  <mergeCells count="12">
    <mergeCell ref="A15:B15"/>
    <mergeCell ref="I5:K5"/>
    <mergeCell ref="L5:N5"/>
    <mergeCell ref="T4:T5"/>
    <mergeCell ref="A3:R3"/>
    <mergeCell ref="A4:A5"/>
    <mergeCell ref="B4:B5"/>
    <mergeCell ref="C4:N4"/>
    <mergeCell ref="O4:Q5"/>
    <mergeCell ref="R4:R5"/>
    <mergeCell ref="C5:E5"/>
    <mergeCell ref="F5:H5"/>
  </mergeCells>
  <pageMargins left="0.52" right="0.4" top="0.39" bottom="0.68" header="0" footer="0"/>
  <pageSetup paperSize="9" orientation="landscape" r:id="rId1"/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18</vt:i4>
      </vt:variant>
    </vt:vector>
  </HeadingPairs>
  <TitlesOfParts>
    <vt:vector size="22" baseType="lpstr">
      <vt:lpstr>SN</vt:lpstr>
      <vt:lpstr>ĐT</vt:lpstr>
      <vt:lpstr>PL1(Full)</vt:lpstr>
      <vt:lpstr>PL5(PL)</vt:lpstr>
      <vt:lpstr>pl_babe</vt:lpstr>
      <vt:lpstr>pl_bachthong</vt:lpstr>
      <vt:lpstr>pl_chodon</vt:lpstr>
      <vt:lpstr>pl_chomoi</vt:lpstr>
      <vt:lpstr>pl_nari</vt:lpstr>
      <vt:lpstr>pl_nganson</vt:lpstr>
      <vt:lpstr>pl_pacnam</vt:lpstr>
      <vt:lpstr>pl_tpbackan</vt:lpstr>
      <vt:lpstr>ĐT!Print_Area</vt:lpstr>
      <vt:lpstr>'PL5(PL)'!Print_Area</vt:lpstr>
      <vt:lpstr>SL!Print_Area</vt:lpstr>
      <vt:lpstr>SN!Print_Area</vt:lpstr>
      <vt:lpstr>ĐT!Print_Titles</vt:lpstr>
      <vt:lpstr>'PL1(Full)'!Print_Titles</vt:lpstr>
      <vt:lpstr>SL!Print_Titles</vt:lpstr>
      <vt:lpstr>SN!Print_Titles</vt:lpstr>
      <vt:lpstr>Soho_1292_thon_to</vt:lpstr>
      <vt:lpstr>tenthon_1292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Phạm Văn Hải, SNV-BK</dc:title>
  <dc:subject>haipv-snv</dc:subject>
  <dc:creator>Phạm Văn Hải</dc:creator>
  <cp:keywords>Copyright: haipv.snv@backan.gov.vn (Vina/Zalo: 0967 444 334 hoặc Viettel: 0386 116 386)</cp:keywords>
  <cp:lastModifiedBy>Phạm Văn Hải</cp:lastModifiedBy>
  <cp:lastPrinted>2024-09-15T02:46:33Z</cp:lastPrinted>
  <dcterms:created xsi:type="dcterms:W3CDTF">2024-09-15T02:29:06Z</dcterms:created>
  <dcterms:modified xsi:type="dcterms:W3CDTF">2024-09-15T02:54:49Z</dcterms:modified>
</cp:coreProperties>
</file>